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PLANOVI 2026.-2028._DP_______________\FINANCIJSKI PLAN\"/>
    </mc:Choice>
  </mc:AlternateContent>
  <xr:revisionPtr revIDLastSave="0" documentId="13_ncr:1_{C621BDC6-A0C0-4170-97CE-419691E00D37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NASLOVNICA" sheetId="13" r:id="rId1"/>
    <sheet name="SAŽETAK" sheetId="1" r:id="rId2"/>
    <sheet name=" Račun prihoda i rashoda-ekonom" sheetId="3" r:id="rId3"/>
    <sheet name=" Račun prihoda i rashoda-izvori" sheetId="9" r:id="rId4"/>
    <sheet name=" Račun rashoda-funkcija" sheetId="10" r:id="rId5"/>
    <sheet name=" Račun financiranja-ekonomska" sheetId="11" r:id="rId6"/>
    <sheet name=" Račun financiranja-izvori" sheetId="12" r:id="rId7"/>
    <sheet name="POSEBNI DIO" sheetId="7" r:id="rId8"/>
  </sheets>
  <definedNames>
    <definedName name="_xlnm.Print_Area" localSheetId="5">' Račun financiranja-ekonomska'!$A$1:$H$15</definedName>
    <definedName name="_xlnm.Print_Area" localSheetId="6">' Račun financiranja-izvori'!$A$1:$F$12</definedName>
    <definedName name="_xlnm.Print_Area" localSheetId="2">' Račun prihoda i rashoda-ekonom'!$A$1:$H$35</definedName>
    <definedName name="_xlnm.Print_Area" localSheetId="3">' Račun prihoda i rashoda-izvori'!$A$1:$F$39</definedName>
    <definedName name="_xlnm.Print_Area" localSheetId="4">' Račun rashoda-funkcija'!$A$1:$F$8</definedName>
    <definedName name="_xlnm.Print_Area" localSheetId="0">NASLOVNICA!$A$1:$I$13</definedName>
    <definedName name="_xlnm.Print_Area" localSheetId="7">'POSEBNI DIO'!$A$2:$G$57</definedName>
    <definedName name="_xlnm.Print_Area" localSheetId="1">SAŽETAK!$A$1:$J$33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I18" i="1"/>
  <c r="J18" i="1"/>
  <c r="H18" i="1"/>
  <c r="J26" i="3"/>
  <c r="K26" i="3"/>
  <c r="I26" i="3"/>
  <c r="F19" i="9"/>
  <c r="E19" i="9"/>
  <c r="D19" i="9"/>
  <c r="C19" i="9"/>
  <c r="B19" i="9"/>
  <c r="D19" i="7" l="1"/>
  <c r="E19" i="7"/>
  <c r="G19" i="7"/>
  <c r="C19" i="7"/>
  <c r="D52" i="7"/>
  <c r="D51" i="7" s="1"/>
  <c r="E52" i="7"/>
  <c r="E51" i="7" s="1"/>
  <c r="F52" i="7"/>
  <c r="F51" i="7" s="1"/>
  <c r="F19" i="7" s="1"/>
  <c r="F18" i="7" s="1"/>
  <c r="F6" i="7" s="1"/>
  <c r="F5" i="7" s="1"/>
  <c r="G52" i="7"/>
  <c r="G51" i="7" s="1"/>
  <c r="C52" i="7"/>
  <c r="C51" i="7" s="1"/>
  <c r="D39" i="7"/>
  <c r="E39" i="7"/>
  <c r="F39" i="7"/>
  <c r="G39" i="7"/>
  <c r="C39" i="7"/>
  <c r="E8" i="10"/>
  <c r="G35" i="3"/>
  <c r="F20" i="3"/>
  <c r="G20" i="3"/>
  <c r="H20" i="3"/>
  <c r="I13" i="1"/>
  <c r="H24" i="1"/>
  <c r="H26" i="1" s="1"/>
  <c r="H27" i="1" s="1"/>
  <c r="E13" i="11"/>
  <c r="F13" i="11"/>
  <c r="G13" i="11"/>
  <c r="H13" i="11"/>
  <c r="C10" i="12"/>
  <c r="D10" i="12"/>
  <c r="E10" i="12"/>
  <c r="F10" i="12"/>
  <c r="C11" i="12"/>
  <c r="D11" i="12"/>
  <c r="E11" i="12"/>
  <c r="F11" i="12"/>
  <c r="B10" i="12"/>
  <c r="B11" i="12"/>
  <c r="G26" i="1"/>
  <c r="G27" i="1" s="1"/>
  <c r="E10" i="3"/>
  <c r="F27" i="1"/>
  <c r="F26" i="1"/>
  <c r="F23" i="1"/>
  <c r="F15" i="1"/>
  <c r="F14" i="1"/>
  <c r="D16" i="3"/>
  <c r="D11" i="3" s="1"/>
  <c r="D10" i="3" s="1"/>
  <c r="B8" i="9"/>
  <c r="E35" i="3"/>
  <c r="E34" i="3"/>
  <c r="E32" i="3"/>
  <c r="E30" i="3"/>
  <c r="E29" i="3"/>
  <c r="E28" i="3"/>
  <c r="E16" i="3"/>
  <c r="E15" i="3"/>
  <c r="E11" i="3" s="1"/>
  <c r="E20" i="3"/>
  <c r="E21" i="3"/>
  <c r="E22" i="3"/>
  <c r="E14" i="3"/>
  <c r="E17" i="3"/>
  <c r="E12" i="3"/>
  <c r="E13" i="3"/>
  <c r="B25" i="9"/>
  <c r="C8" i="9"/>
  <c r="C25" i="9" s="1"/>
  <c r="B8" i="10"/>
  <c r="C8" i="10"/>
  <c r="D13" i="11"/>
  <c r="D38" i="7"/>
  <c r="D37" i="7"/>
  <c r="D33" i="7"/>
  <c r="D31" i="7"/>
  <c r="D27" i="7"/>
  <c r="D22" i="7"/>
  <c r="D14" i="7"/>
  <c r="I26" i="1"/>
  <c r="J26" i="1"/>
  <c r="H23" i="1"/>
  <c r="J9" i="1"/>
  <c r="I9" i="1"/>
  <c r="H9" i="1"/>
  <c r="F25" i="9"/>
  <c r="J25" i="9" s="1"/>
  <c r="E25" i="9"/>
  <c r="I25" i="9" s="1"/>
  <c r="D25" i="9"/>
  <c r="H25" i="9" s="1"/>
  <c r="H29" i="3"/>
  <c r="G29" i="3"/>
  <c r="F29" i="3"/>
  <c r="H35" i="3"/>
  <c r="F35" i="3"/>
  <c r="H34" i="3"/>
  <c r="G34" i="3"/>
  <c r="F34" i="3"/>
  <c r="H30" i="3"/>
  <c r="G30" i="3"/>
  <c r="F30" i="3"/>
  <c r="H28" i="3"/>
  <c r="G28" i="3"/>
  <c r="F28" i="3"/>
  <c r="D32" i="7" l="1"/>
  <c r="H16" i="3"/>
  <c r="G16" i="3"/>
  <c r="F16" i="3"/>
  <c r="G17" i="3" l="1"/>
  <c r="H17" i="3"/>
  <c r="F17" i="3"/>
  <c r="F15" i="3"/>
  <c r="H14" i="3"/>
  <c r="G14" i="3"/>
  <c r="F14" i="3"/>
  <c r="F13" i="3"/>
  <c r="C15" i="9"/>
  <c r="D30" i="7"/>
  <c r="D29" i="7" s="1"/>
  <c r="E30" i="7"/>
  <c r="E29" i="7" s="1"/>
  <c r="F30" i="7"/>
  <c r="F29" i="7" s="1"/>
  <c r="G30" i="7"/>
  <c r="G29" i="7" s="1"/>
  <c r="C30" i="7"/>
  <c r="C29" i="7" s="1"/>
  <c r="E14" i="7"/>
  <c r="E13" i="7" s="1"/>
  <c r="D10" i="7"/>
  <c r="E10" i="7"/>
  <c r="F10" i="7"/>
  <c r="G10" i="7"/>
  <c r="D13" i="7"/>
  <c r="F13" i="7"/>
  <c r="G13" i="7"/>
  <c r="D16" i="7"/>
  <c r="E16" i="7"/>
  <c r="F16" i="7"/>
  <c r="G16" i="7"/>
  <c r="G23" i="1"/>
  <c r="G14" i="1"/>
  <c r="D7" i="9"/>
  <c r="F7" i="9"/>
  <c r="E33" i="3"/>
  <c r="E27" i="3"/>
  <c r="E26" i="3" s="1"/>
  <c r="D33" i="3"/>
  <c r="D27" i="3"/>
  <c r="B36" i="9"/>
  <c r="C36" i="9"/>
  <c r="B34" i="9"/>
  <c r="C34" i="9"/>
  <c r="B32" i="9"/>
  <c r="C32" i="9"/>
  <c r="B30" i="9"/>
  <c r="C30" i="9"/>
  <c r="B28" i="9"/>
  <c r="C28" i="9"/>
  <c r="B26" i="9"/>
  <c r="C26" i="9"/>
  <c r="B24" i="9"/>
  <c r="C24" i="9"/>
  <c r="D56" i="7"/>
  <c r="D55" i="7" s="1"/>
  <c r="D54" i="7" s="1"/>
  <c r="E56" i="7"/>
  <c r="E55" i="7" s="1"/>
  <c r="E54" i="7" s="1"/>
  <c r="F56" i="7"/>
  <c r="F55" i="7" s="1"/>
  <c r="F54" i="7" s="1"/>
  <c r="G56" i="7"/>
  <c r="G55" i="7" s="1"/>
  <c r="G54" i="7" s="1"/>
  <c r="C56" i="7"/>
  <c r="C55" i="7" s="1"/>
  <c r="C54" i="7" s="1"/>
  <c r="D45" i="7"/>
  <c r="E45" i="7"/>
  <c r="F45" i="7"/>
  <c r="G45" i="7"/>
  <c r="C45" i="7"/>
  <c r="C36" i="7"/>
  <c r="C35" i="7" s="1"/>
  <c r="E36" i="7"/>
  <c r="E35" i="7" s="1"/>
  <c r="F36" i="7"/>
  <c r="G36" i="7"/>
  <c r="G35" i="7" s="1"/>
  <c r="D36" i="7"/>
  <c r="D26" i="7"/>
  <c r="E26" i="7"/>
  <c r="F26" i="7"/>
  <c r="G26" i="7"/>
  <c r="C26" i="7"/>
  <c r="E21" i="7"/>
  <c r="C49" i="7"/>
  <c r="C48" i="7" s="1"/>
  <c r="D49" i="7"/>
  <c r="D48" i="7" s="1"/>
  <c r="C43" i="7"/>
  <c r="D43" i="7"/>
  <c r="C21" i="7"/>
  <c r="D21" i="7"/>
  <c r="C16" i="7"/>
  <c r="C13" i="7"/>
  <c r="C10" i="7"/>
  <c r="F11" i="1"/>
  <c r="G11" i="1"/>
  <c r="I23" i="1"/>
  <c r="J23" i="1"/>
  <c r="I14" i="1"/>
  <c r="J14" i="1"/>
  <c r="H14" i="1"/>
  <c r="I11" i="1"/>
  <c r="J11" i="1"/>
  <c r="H11" i="1"/>
  <c r="D18" i="3"/>
  <c r="D20" i="3"/>
  <c r="F18" i="3"/>
  <c r="G18" i="3"/>
  <c r="H18" i="3"/>
  <c r="E18" i="3"/>
  <c r="E36" i="9"/>
  <c r="F36" i="9"/>
  <c r="D36" i="9"/>
  <c r="E34" i="9"/>
  <c r="F34" i="9"/>
  <c r="D34" i="9"/>
  <c r="E32" i="9"/>
  <c r="F32" i="9"/>
  <c r="D32" i="9"/>
  <c r="E30" i="9"/>
  <c r="F30" i="9"/>
  <c r="D30" i="9"/>
  <c r="E28" i="9"/>
  <c r="F28" i="9"/>
  <c r="D28" i="9"/>
  <c r="E26" i="9"/>
  <c r="F26" i="9"/>
  <c r="D26" i="9"/>
  <c r="E24" i="9"/>
  <c r="F24" i="9"/>
  <c r="D24" i="9"/>
  <c r="C11" i="9"/>
  <c r="B7" i="9"/>
  <c r="C13" i="9"/>
  <c r="C9" i="9"/>
  <c r="C17" i="9"/>
  <c r="D17" i="9"/>
  <c r="E17" i="9"/>
  <c r="F17" i="9"/>
  <c r="B17" i="9"/>
  <c r="D15" i="9"/>
  <c r="E15" i="9"/>
  <c r="F15" i="9"/>
  <c r="B15" i="9"/>
  <c r="D13" i="9"/>
  <c r="E13" i="9"/>
  <c r="F13" i="9"/>
  <c r="B13" i="9"/>
  <c r="D11" i="9"/>
  <c r="E11" i="9"/>
  <c r="F11" i="9"/>
  <c r="B11" i="9"/>
  <c r="D9" i="9"/>
  <c r="E9" i="9"/>
  <c r="F9" i="9"/>
  <c r="B9" i="9"/>
  <c r="E7" i="9"/>
  <c r="E6" i="9" s="1"/>
  <c r="C7" i="9"/>
  <c r="C6" i="9" l="1"/>
  <c r="F6" i="9"/>
  <c r="B6" i="9"/>
  <c r="D6" i="9"/>
  <c r="D35" i="7"/>
  <c r="F35" i="7"/>
  <c r="D26" i="3"/>
  <c r="C42" i="7"/>
  <c r="C20" i="7"/>
  <c r="G11" i="3"/>
  <c r="F11" i="3"/>
  <c r="F10" i="3" s="1"/>
  <c r="D20" i="7"/>
  <c r="G9" i="7"/>
  <c r="F9" i="7"/>
  <c r="D9" i="7"/>
  <c r="D8" i="7" s="1"/>
  <c r="D7" i="7" s="1"/>
  <c r="G15" i="1"/>
  <c r="H27" i="3"/>
  <c r="J15" i="1"/>
  <c r="J27" i="1" s="1"/>
  <c r="I15" i="1"/>
  <c r="I27" i="1" s="1"/>
  <c r="H33" i="3"/>
  <c r="G33" i="3"/>
  <c r="G27" i="3"/>
  <c r="F27" i="3"/>
  <c r="F33" i="3"/>
  <c r="E23" i="9"/>
  <c r="F23" i="9"/>
  <c r="D23" i="9"/>
  <c r="B23" i="9"/>
  <c r="C23" i="9"/>
  <c r="G23" i="9" s="1"/>
  <c r="D42" i="7"/>
  <c r="E20" i="7"/>
  <c r="C9" i="7"/>
  <c r="C8" i="7" s="1"/>
  <c r="C7" i="7" s="1"/>
  <c r="H15" i="1"/>
  <c r="H11" i="3"/>
  <c r="H10" i="3" s="1"/>
  <c r="G10" i="3"/>
  <c r="H23" i="9"/>
  <c r="J23" i="9"/>
  <c r="I23" i="9"/>
  <c r="F49" i="7"/>
  <c r="F48" i="7" s="1"/>
  <c r="G49" i="7"/>
  <c r="G48" i="7" s="1"/>
  <c r="E49" i="7"/>
  <c r="E48" i="7" s="1"/>
  <c r="F43" i="7"/>
  <c r="F42" i="7" s="1"/>
  <c r="G43" i="7"/>
  <c r="G42" i="7" s="1"/>
  <c r="E43" i="7"/>
  <c r="E42" i="7" s="1"/>
  <c r="F21" i="7"/>
  <c r="F20" i="7" s="1"/>
  <c r="G21" i="7"/>
  <c r="G20" i="7" s="1"/>
  <c r="C18" i="7" l="1"/>
  <c r="C6" i="7" s="1"/>
  <c r="C5" i="7" s="1"/>
  <c r="D18" i="7"/>
  <c r="D6" i="7" s="1"/>
  <c r="D5" i="7" s="1"/>
  <c r="G26" i="3"/>
  <c r="F26" i="3"/>
  <c r="H26" i="3"/>
  <c r="E18" i="7"/>
  <c r="E8" i="7"/>
  <c r="E7" i="7" s="1"/>
  <c r="G8" i="7"/>
  <c r="G7" i="7" s="1"/>
  <c r="F8" i="7"/>
  <c r="F7" i="7" s="1"/>
  <c r="E6" i="7" l="1"/>
  <c r="E5" i="7" s="1"/>
  <c r="G18" i="7"/>
  <c r="G6" i="7" s="1"/>
  <c r="G5" i="7" s="1"/>
</calcChain>
</file>

<file path=xl/sharedStrings.xml><?xml version="1.0" encoding="utf-8"?>
<sst xmlns="http://schemas.openxmlformats.org/spreadsheetml/2006/main" count="242" uniqueCount="128">
  <si>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</si>
  <si>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</si>
  <si>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</si>
  <si>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</si>
  <si>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</si>
  <si>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</si>
  <si>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</si>
  <si>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</si>
  <si>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</si>
  <si>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</si>
  <si>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</si>
  <si>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01 Opće javne usluge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</si>
  <si>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</si>
  <si>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</si>
  <si>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</si>
  <si>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</si>
  <si>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</si>
  <si>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</si>
  <si>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</si>
  <si>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</si>
  <si>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</si>
  <si>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</si>
  <si>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</si>
  <si>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</si>
  <si>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</si>
  <si>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</si>
  <si>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</si>
  <si>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</si>
  <si>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</si>
  <si>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</si>
  <si>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</si>
  <si>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</si>
  <si>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</si>
  <si>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</si>
  <si>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</si>
  <si>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</si>
  <si>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</si>
  <si>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</si>
  <si>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</si>
  <si>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</si>
  <si>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</si>
  <si>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</si>
  <si>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</si>
  <si>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</si>
  <si>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</si>
  <si>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</si>
  <si>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</si>
  <si>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</si>
  <si>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</si>
  <si>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BROJČANA OZNAKA GLAVNOG PROGRAMA                                        36</t>
  </si>
  <si>
    <t>OPĆA BOLNICA DR.IVO PEDIŠIĆ SISAK</t>
  </si>
  <si>
    <t>ZAŠTITA ZDRAVLJA</t>
  </si>
  <si>
    <t>BROJČANA OZNAKA PROGRAMA    3602</t>
  </si>
  <si>
    <t>INVESTICIJE U ZDRAVSTVENU INFRASTRUKTURU</t>
  </si>
  <si>
    <t>OPĆA BOLNICA DR. IVO PEDIŠIĆ SISAK - IZRAVNA KAPITALNA ULAGANJA</t>
  </si>
  <si>
    <t xml:space="preserve">BROJČANA OZNAKA IZVORA FINANCIRANJA                                    11 </t>
  </si>
  <si>
    <t>Opći prihodi i primici</t>
  </si>
  <si>
    <t>BROJČANA OZNAKA Skupine ekonomske klasifikacije (rashod/izdatak)                    3</t>
  </si>
  <si>
    <t>Financijski rashodi</t>
  </si>
  <si>
    <t>Rashodi za nabavu nefnancijske imovine</t>
  </si>
  <si>
    <t>Rashodi za nabavu proizvedene dugotrajne imovine</t>
  </si>
  <si>
    <t>Rashodi za dodatna ulaganja na nefinancijskoj imovini</t>
  </si>
  <si>
    <t>BROJČANA OZNAKA PROGRAMA    3605</t>
  </si>
  <si>
    <t>SIGURNOST GRAĐANA I PRAVO NA ZDRAVSTVENE USLUGE</t>
  </si>
  <si>
    <t>BROJČANA OZNAKA IZVORA FINANCIRANJA                                    31</t>
  </si>
  <si>
    <t>Ostali rashodi</t>
  </si>
  <si>
    <t>BROJČANA OZNAKA IZVORA FINANCIRANJA                                    43</t>
  </si>
  <si>
    <t>Ostali prihodi za posebne namjene</t>
  </si>
  <si>
    <t>BROJČANA OZNAKA IZVORA FINANCIRANJA                                    52</t>
  </si>
  <si>
    <t>Ostale pomoći</t>
  </si>
  <si>
    <t>BROJČANA OZNAKA IZVORA FINANCIRANJA                                    61</t>
  </si>
  <si>
    <t>Donacije</t>
  </si>
  <si>
    <t>BROJČANA OZNAKA IZVORA FINANCIRANJA                                   71</t>
  </si>
  <si>
    <t>Prihodi od nefinancijske imovine i nadoknade štete s osnova osiguranja</t>
  </si>
  <si>
    <t>BROJČANA OZNAKA AKTIVNOSTI/PROJEKTA           K950001</t>
  </si>
  <si>
    <t>Vlastiti prihodi</t>
  </si>
  <si>
    <t>BROJČANA OZNAKA AKTIVNOSTI/PROJEKTA           A950002</t>
  </si>
  <si>
    <t>013 Opće usluge - 0760 Poslovi i usluge zdravstva koji nisu drugdje svrstani</t>
  </si>
  <si>
    <t>4 Prihodi za posebne namjene</t>
  </si>
  <si>
    <t xml:space="preserve">  43 Ostali prihodi za posebne namjene</t>
  </si>
  <si>
    <t>5 Pomoći</t>
  </si>
  <si>
    <t>6 Donacije</t>
  </si>
  <si>
    <t xml:space="preserve">  61 Donacije</t>
  </si>
  <si>
    <t>7 Prihodi od nefinanciJske imovine i nadoknade štete s osnove osiguranja</t>
  </si>
  <si>
    <t>7 Prihodi od nefinancijske imovine i nadoknade štete s osnove osiguranja</t>
  </si>
  <si>
    <t xml:space="preserve">   71 Prihodi od nefinancijske imovine i nadoknade   štete s osnove osiguranja</t>
  </si>
  <si>
    <t>Prihodi od imovine</t>
  </si>
  <si>
    <t>Prihodi od upravnih i administrativnih pristojbi, pristojbi po posebnim propisima i naknada</t>
  </si>
  <si>
    <t>Prihodi od nadležnog proračuna i od HZZO-a temeljem ugovornih obveza</t>
  </si>
  <si>
    <t>Kazne, upravne mjere i ostali prihodi</t>
  </si>
  <si>
    <t>Izradila:</t>
  </si>
  <si>
    <t xml:space="preserve"> </t>
  </si>
  <si>
    <t>BROJČANA OZNAKA PRORAČUNSKOG KORISNIKA                           RKP 29244</t>
  </si>
  <si>
    <t>OPĆA BOLNICA DR. IVO PEDIŠIĆ SISAK</t>
  </si>
  <si>
    <t>RKP 29244</t>
  </si>
  <si>
    <t>RAVNATELJ</t>
  </si>
  <si>
    <t>PROJEKCIJA 
ZA 2027.</t>
  </si>
  <si>
    <t>ADMINISTRACIJA I UPRAVLJANJE (IZ EVIDENCIJSKIH PRIHODA)</t>
  </si>
  <si>
    <t xml:space="preserve">ADMINISTRACIJA I UPRAVLJANJE </t>
  </si>
  <si>
    <t>BROJČANA OZNAKA AKTIVNOSTI/PROJEKTA           A950003</t>
  </si>
  <si>
    <t>ukupni rashodi bez glavnice kredita</t>
  </si>
  <si>
    <t xml:space="preserve">Sisak, </t>
  </si>
  <si>
    <t>IZVRŠENJE
2024.</t>
  </si>
  <si>
    <t>TEKUĆI PLAN
2025.</t>
  </si>
  <si>
    <t>PLAN 
ZA 2026.</t>
  </si>
  <si>
    <t>PROJEKCIJA 
ZA 2028.</t>
  </si>
  <si>
    <t>Naknade građanima i kućanstvima</t>
  </si>
  <si>
    <t>Donos</t>
  </si>
  <si>
    <t>Odnos</t>
  </si>
  <si>
    <t>Razlika donosa i odnosa</t>
  </si>
  <si>
    <t>mr.Jasenka Štampalija-Janković,dipl.oec.</t>
  </si>
  <si>
    <t>Namjenski primici od zaduživanja</t>
  </si>
  <si>
    <t>8 Namjenski primici od zaduživanja</t>
  </si>
  <si>
    <t>81 Namjenski prinici od zaduživanja*</t>
  </si>
  <si>
    <t>Rashodi za dodatna ulaganja na nefinancijskoj imovini*</t>
  </si>
  <si>
    <t>*Donos sredstava iz prehodnih razdoblja</t>
  </si>
  <si>
    <t>BROJČANA OZNAKA IZVORA FINANCIRANJA                                   81</t>
  </si>
  <si>
    <t>BROJČANA OZNAKA Skupine ekonomske klasifikacije (rashod/izdatak)                   4</t>
  </si>
  <si>
    <t xml:space="preserve">  52 Ostale pomoći*</t>
  </si>
  <si>
    <t>*Donos sredstava iz prethodne godine u 2027.</t>
  </si>
  <si>
    <t>81 Namjenski primici od zaduživanja*</t>
  </si>
  <si>
    <t>glavnice kredita iskazane u B2</t>
  </si>
  <si>
    <t>Urbroj:  2176-125-08-7716-2/25</t>
  </si>
  <si>
    <t>12.  prosinca 2025.</t>
  </si>
  <si>
    <t>FINANCIJSKI PLAN ZA 2026. GODINU</t>
  </si>
  <si>
    <t>I PROJEKCIJE ZA 2027. I 2028. GODINU</t>
  </si>
  <si>
    <t>FINANCIJSKI PLAN PRORAČUNSKOG KORISNIKA DRŽAVNOG PRORAČUNA                                                                                                                                        OPĆA BOLNICA DR. IVO PEDIŠIĆ SISAK                         
ZA 2026. I PROJEKCIJE ZA 2027. I 2028. GODINU</t>
  </si>
  <si>
    <t>Igor Vrga, dr.med., univ.spec.med.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</si>
</sst>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3" fontId="17" fillId="0" borderId="3" xfId="0" applyNumberFormat="1" applyFont="1" applyBorder="1"/>
    <xf numFmtId="3" fontId="17" fillId="0" borderId="0" xfId="0" applyNumberFormat="1" applyFont="1"/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3" fontId="11" fillId="2" borderId="3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9" fillId="2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/>
    <xf numFmtId="3" fontId="1" fillId="0" borderId="3" xfId="0" applyNumberFormat="1" applyFont="1" applyBorder="1"/>
    <xf numFmtId="3" fontId="1" fillId="0" borderId="0" xfId="0" applyNumberFormat="1" applyFont="1"/>
    <xf numFmtId="3" fontId="9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0" fillId="0" borderId="3" xfId="0" applyNumberFormat="1" applyBorder="1" applyAlignment="1">
      <alignment horizontal="right"/>
    </xf>
    <xf numFmtId="0" fontId="17" fillId="0" borderId="3" xfId="0" applyFont="1" applyBorder="1"/>
    <xf numFmtId="3" fontId="17" fillId="0" borderId="3" xfId="0" applyNumberFormat="1" applyFont="1" applyBorder="1" applyAlignment="1">
      <alignment horizontal="right"/>
    </xf>
    <xf numFmtId="0" fontId="17" fillId="0" borderId="0" xfId="0" applyFont="1"/>
    <xf numFmtId="3" fontId="4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16" fillId="0" borderId="0" xfId="0" applyNumberFormat="1" applyFont="1"/>
    <xf numFmtId="3" fontId="3" fillId="0" borderId="0" xfId="0" applyNumberFormat="1" applyFont="1" applyAlignment="1">
      <alignment horizontal="right"/>
    </xf>
    <xf numFmtId="3" fontId="9" fillId="2" borderId="3" xfId="0" quotePrefix="1" applyNumberFormat="1" applyFont="1" applyFill="1" applyBorder="1" applyAlignment="1">
      <alignment horizontal="righ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3" fontId="9" fillId="0" borderId="3" xfId="0" quotePrefix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3" fontId="11" fillId="2" borderId="3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6" fillId="3" borderId="3" xfId="0" quotePrefix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0" fillId="0" borderId="3" xfId="0" applyNumberFormat="1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20" fillId="0" borderId="0" xfId="0" applyNumberFormat="1" applyFont="1"/>
    <xf numFmtId="3" fontId="9" fillId="2" borderId="3" xfId="0" applyNumberFormat="1" applyFont="1" applyFill="1" applyBorder="1" applyAlignment="1">
      <alignment horizontal="right" wrapText="1"/>
    </xf>
    <xf numFmtId="3" fontId="11" fillId="0" borderId="3" xfId="0" applyNumberFormat="1" applyFont="1" applyBorder="1" applyAlignment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wrapText="1"/>
    </xf>
    <xf numFmtId="3" fontId="11" fillId="3" borderId="3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right" vertical="center" wrapText="1"/>
    </xf>
    <xf numFmtId="3" fontId="11" fillId="3" borderId="3" xfId="0" applyNumberFormat="1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10" fillId="0" borderId="3" xfId="0" quotePrefix="1" applyFont="1" applyBorder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11" fillId="0" borderId="3" xfId="0" applyNumberFormat="1" applyFont="1" applyBorder="1" applyAlignment="1">
      <alignment vertical="center" wrapText="1"/>
    </xf>
    <xf numFmtId="3" fontId="6" fillId="0" borderId="3" xfId="0" quotePrefix="1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 wrapText="1"/>
    </xf>
    <xf numFmtId="3" fontId="3" fillId="0" borderId="0" xfId="0" applyNumberFormat="1" applyFont="1"/>
    <xf numFmtId="0" fontId="3" fillId="2" borderId="6" xfId="0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532A-3A63-4BAE-8D57-083D79695A7C}">
  <dimension ref="A1:I13"/>
  <sheetViews>
    <sheetView tabSelected="1" zoomScaleNormal="100" workbookViewId="0">
      <selection activeCell="A14" sqref="A14"/>
    </sheetView>
  </sheetViews>
  <sheetFormatPr defaultRowHeight="15" x14ac:dyDescent="0.25"/>
  <sheetData>
    <row r="1" spans="1:9" ht="21" x14ac:dyDescent="0.35">
      <c r="A1" s="81" t="s">
        <v>93</v>
      </c>
      <c r="I1" s="84" t="s">
        <v>94</v>
      </c>
    </row>
    <row r="3" spans="1:9" x14ac:dyDescent="0.25">
      <c r="A3" t="s">
        <v>122</v>
      </c>
    </row>
    <row r="4" spans="1:9" x14ac:dyDescent="0.25">
      <c r="A4" t="s">
        <v>101</v>
      </c>
      <c r="B4" t="s">
        <v>123</v>
      </c>
    </row>
    <row r="11" spans="1:9" ht="23.25" x14ac:dyDescent="0.35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9" s="82" customFormat="1" ht="23.25" x14ac:dyDescent="0.35">
      <c r="A12" s="123" t="s">
        <v>124</v>
      </c>
      <c r="B12" s="123"/>
      <c r="C12" s="123"/>
      <c r="D12" s="123"/>
      <c r="E12" s="123"/>
      <c r="F12" s="123"/>
      <c r="G12" s="123"/>
      <c r="H12" s="123"/>
      <c r="I12" s="123"/>
    </row>
    <row r="13" spans="1:9" s="82" customFormat="1" ht="23.25" x14ac:dyDescent="0.35">
      <c r="A13" s="123" t="s">
        <v>125</v>
      </c>
      <c r="B13" s="123"/>
      <c r="C13" s="123"/>
      <c r="D13" s="123"/>
      <c r="E13" s="123"/>
      <c r="F13" s="123"/>
      <c r="G13" s="123"/>
      <c r="H13" s="123"/>
      <c r="I13" s="123"/>
    </row>
  </sheetData>
  <mergeCells count="3">
    <mergeCell ref="A13:I13"/>
    <mergeCell ref="A12:I12"/>
    <mergeCell ref="A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opLeftCell="A7" zoomScaleNormal="100" workbookViewId="0">
      <selection activeCell="H36" sqref="H36"/>
    </sheetView>
  </sheetViews>
  <sheetFormatPr defaultRowHeight="15" x14ac:dyDescent="0.25"/>
  <cols>
    <col min="5" max="5" width="25.28515625" customWidth="1"/>
    <col min="6" max="10" width="19.42578125" customWidth="1"/>
    <col min="11" max="11" width="25.28515625" customWidth="1"/>
    <col min="12" max="12" width="25.28515625" style="56" customWidth="1"/>
  </cols>
  <sheetData>
    <row r="1" spans="1:12" ht="51" customHeight="1" x14ac:dyDescent="0.25">
      <c r="A1" s="124" t="s">
        <v>126</v>
      </c>
      <c r="B1" s="124"/>
      <c r="C1" s="124"/>
      <c r="D1" s="124"/>
      <c r="E1" s="124"/>
      <c r="F1" s="124"/>
      <c r="G1" s="124"/>
      <c r="H1" s="124"/>
      <c r="I1" s="124"/>
      <c r="J1" s="124"/>
      <c r="K1" s="34"/>
      <c r="L1" s="120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79"/>
    </row>
    <row r="3" spans="1:12" ht="15.75" customHeight="1" x14ac:dyDescent="0.25">
      <c r="A3" s="124" t="s">
        <v>16</v>
      </c>
      <c r="B3" s="124"/>
      <c r="C3" s="124"/>
      <c r="D3" s="124"/>
      <c r="E3" s="124"/>
      <c r="F3" s="124"/>
      <c r="G3" s="124"/>
      <c r="H3" s="124"/>
      <c r="I3" s="124"/>
      <c r="J3" s="124"/>
      <c r="K3" s="33"/>
      <c r="L3" s="102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69"/>
    </row>
    <row r="5" spans="1:12" ht="18" customHeight="1" x14ac:dyDescent="0.25">
      <c r="A5" s="124" t="s">
        <v>30</v>
      </c>
      <c r="B5" s="124"/>
      <c r="C5" s="124"/>
      <c r="D5" s="124"/>
      <c r="E5" s="124"/>
      <c r="F5" s="124"/>
      <c r="G5" s="124"/>
      <c r="H5" s="124"/>
      <c r="I5" s="124"/>
      <c r="J5" s="124"/>
      <c r="K5" s="32"/>
      <c r="L5" s="103"/>
    </row>
    <row r="6" spans="1:12" ht="18" x14ac:dyDescent="0.25">
      <c r="A6" s="1"/>
      <c r="B6" s="2"/>
      <c r="C6" s="2"/>
      <c r="D6" s="2"/>
      <c r="E6" s="6"/>
      <c r="F6" s="6"/>
      <c r="G6" s="6"/>
      <c r="H6" s="7"/>
      <c r="I6" s="7"/>
      <c r="J6" s="26"/>
    </row>
    <row r="7" spans="1:12" ht="25.5" x14ac:dyDescent="0.25">
      <c r="A7" s="134" t="s">
        <v>10</v>
      </c>
      <c r="B7" s="135"/>
      <c r="C7" s="135"/>
      <c r="D7" s="135"/>
      <c r="E7" s="135"/>
      <c r="F7" s="37" t="s">
        <v>102</v>
      </c>
      <c r="G7" s="85" t="s">
        <v>103</v>
      </c>
      <c r="H7" s="38" t="s">
        <v>104</v>
      </c>
      <c r="I7" s="38" t="s">
        <v>96</v>
      </c>
      <c r="J7" s="38" t="s">
        <v>105</v>
      </c>
    </row>
    <row r="8" spans="1:12" ht="12" customHeight="1" x14ac:dyDescent="0.25">
      <c r="A8" s="136">
        <v>1</v>
      </c>
      <c r="B8" s="136"/>
      <c r="C8" s="136"/>
      <c r="D8" s="136"/>
      <c r="E8" s="136"/>
      <c r="F8" s="40">
        <v>2</v>
      </c>
      <c r="G8" s="40">
        <v>3</v>
      </c>
      <c r="H8" s="41">
        <v>4</v>
      </c>
      <c r="I8" s="41">
        <v>5</v>
      </c>
      <c r="J8" s="41">
        <v>6</v>
      </c>
    </row>
    <row r="9" spans="1:12" x14ac:dyDescent="0.25">
      <c r="A9" s="133" t="s">
        <v>32</v>
      </c>
      <c r="B9" s="130"/>
      <c r="C9" s="130"/>
      <c r="D9" s="130"/>
      <c r="E9" s="126"/>
      <c r="F9" s="119">
        <v>47841213.159999996</v>
      </c>
      <c r="G9" s="119">
        <v>61539209</v>
      </c>
      <c r="H9" s="23">
        <f>66613507-H10</f>
        <v>66613257</v>
      </c>
      <c r="I9" s="23">
        <f>68568235-250</f>
        <v>68567985</v>
      </c>
      <c r="J9" s="23">
        <f>72178883-J10</f>
        <v>72178633</v>
      </c>
    </row>
    <row r="10" spans="1:12" x14ac:dyDescent="0.25">
      <c r="A10" s="125" t="s">
        <v>33</v>
      </c>
      <c r="B10" s="126"/>
      <c r="C10" s="126"/>
      <c r="D10" s="126"/>
      <c r="E10" s="126"/>
      <c r="F10" s="119">
        <v>263.17</v>
      </c>
      <c r="G10" s="119">
        <v>225</v>
      </c>
      <c r="H10" s="23">
        <v>250</v>
      </c>
      <c r="I10" s="23">
        <v>250</v>
      </c>
      <c r="J10" s="23">
        <v>250</v>
      </c>
    </row>
    <row r="11" spans="1:12" x14ac:dyDescent="0.25">
      <c r="A11" s="131" t="s">
        <v>0</v>
      </c>
      <c r="B11" s="128"/>
      <c r="C11" s="128"/>
      <c r="D11" s="128"/>
      <c r="E11" s="132"/>
      <c r="F11" s="104">
        <f>F9+F10</f>
        <v>47841476.329999998</v>
      </c>
      <c r="G11" s="104">
        <f>G9+G10</f>
        <v>61539434</v>
      </c>
      <c r="H11" s="22">
        <f>H9+H10</f>
        <v>66613507</v>
      </c>
      <c r="I11" s="22">
        <f t="shared" ref="I11:J11" si="0">I9+I10</f>
        <v>68568235</v>
      </c>
      <c r="J11" s="22">
        <f t="shared" si="0"/>
        <v>72178883</v>
      </c>
    </row>
    <row r="12" spans="1:12" x14ac:dyDescent="0.25">
      <c r="A12" s="129" t="s">
        <v>34</v>
      </c>
      <c r="B12" s="130"/>
      <c r="C12" s="130"/>
      <c r="D12" s="130"/>
      <c r="E12" s="130"/>
      <c r="F12" s="117">
        <v>54351789.390000001</v>
      </c>
      <c r="G12" s="117">
        <v>59625080</v>
      </c>
      <c r="H12" s="23">
        <v>63032137</v>
      </c>
      <c r="I12" s="23">
        <v>66510165</v>
      </c>
      <c r="J12" s="24">
        <v>69724725</v>
      </c>
      <c r="K12" s="56"/>
    </row>
    <row r="13" spans="1:12" x14ac:dyDescent="0.25">
      <c r="A13" s="125" t="s">
        <v>35</v>
      </c>
      <c r="B13" s="126"/>
      <c r="C13" s="126"/>
      <c r="D13" s="126"/>
      <c r="E13" s="126"/>
      <c r="F13" s="119">
        <v>1630548.79</v>
      </c>
      <c r="G13" s="119">
        <v>1580677</v>
      </c>
      <c r="H13" s="23">
        <v>2987778</v>
      </c>
      <c r="I13" s="23">
        <f>1252122+217683</f>
        <v>1469805</v>
      </c>
      <c r="J13" s="23">
        <v>1807986</v>
      </c>
    </row>
    <row r="14" spans="1:12" x14ac:dyDescent="0.25">
      <c r="A14" s="27" t="s">
        <v>1</v>
      </c>
      <c r="B14" s="28"/>
      <c r="C14" s="28"/>
      <c r="D14" s="28"/>
      <c r="E14" s="28"/>
      <c r="F14" s="104">
        <f>F12+F13</f>
        <v>55982338.18</v>
      </c>
      <c r="G14" s="22">
        <f>G12+G13</f>
        <v>61205757</v>
      </c>
      <c r="H14" s="22">
        <f>H12+H13</f>
        <v>66019915</v>
      </c>
      <c r="I14" s="22">
        <f t="shared" ref="I14:J14" si="1">I12+I13</f>
        <v>67979970</v>
      </c>
      <c r="J14" s="22">
        <f t="shared" si="1"/>
        <v>71532711</v>
      </c>
    </row>
    <row r="15" spans="1:12" x14ac:dyDescent="0.25">
      <c r="A15" s="127" t="s">
        <v>2</v>
      </c>
      <c r="B15" s="128"/>
      <c r="C15" s="128"/>
      <c r="D15" s="128"/>
      <c r="E15" s="128"/>
      <c r="F15" s="106">
        <f>F11-F14</f>
        <v>-8140861.8500000015</v>
      </c>
      <c r="G15" s="25">
        <f>G11-G14</f>
        <v>333677</v>
      </c>
      <c r="H15" s="25">
        <f>H11-H14</f>
        <v>593592</v>
      </c>
      <c r="I15" s="25">
        <f t="shared" ref="I15:J15" si="2">I11-I14</f>
        <v>588265</v>
      </c>
      <c r="J15" s="25">
        <f t="shared" si="2"/>
        <v>646172</v>
      </c>
    </row>
    <row r="16" spans="1:12" ht="18" x14ac:dyDescent="0.25">
      <c r="A16" s="4"/>
      <c r="B16" s="8"/>
      <c r="C16" s="8"/>
      <c r="D16" s="8"/>
      <c r="E16" s="8"/>
      <c r="F16" s="8"/>
      <c r="G16" s="8"/>
      <c r="H16" s="67" t="s">
        <v>91</v>
      </c>
      <c r="I16" s="8"/>
      <c r="J16" s="3"/>
      <c r="K16" s="3"/>
      <c r="L16" s="121"/>
    </row>
    <row r="17" spans="1:12" ht="18" customHeight="1" x14ac:dyDescent="0.25">
      <c r="A17" s="124" t="s">
        <v>31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32"/>
      <c r="L17" s="103"/>
    </row>
    <row r="18" spans="1:12" ht="18" x14ac:dyDescent="0.25">
      <c r="A18" s="4"/>
      <c r="B18" s="8"/>
      <c r="C18" s="8"/>
      <c r="D18" s="8"/>
      <c r="E18" s="8"/>
      <c r="F18" s="8"/>
      <c r="G18" s="8"/>
      <c r="H18" s="121">
        <f>H14+H22</f>
        <v>66613507</v>
      </c>
      <c r="I18" s="121">
        <f t="shared" ref="I18:J18" si="3">I14+I22</f>
        <v>68785918</v>
      </c>
      <c r="J18" s="121">
        <f t="shared" si="3"/>
        <v>72178883</v>
      </c>
    </row>
    <row r="19" spans="1:12" ht="25.5" x14ac:dyDescent="0.25">
      <c r="A19" s="134" t="s">
        <v>10</v>
      </c>
      <c r="B19" s="135"/>
      <c r="C19" s="135"/>
      <c r="D19" s="135"/>
      <c r="E19" s="135"/>
      <c r="F19" s="37" t="s">
        <v>102</v>
      </c>
      <c r="G19" s="85" t="s">
        <v>103</v>
      </c>
      <c r="H19" s="38" t="s">
        <v>104</v>
      </c>
      <c r="I19" s="38" t="s">
        <v>96</v>
      </c>
      <c r="J19" s="38" t="s">
        <v>105</v>
      </c>
    </row>
    <row r="20" spans="1:12" ht="12" customHeight="1" x14ac:dyDescent="0.25">
      <c r="A20" s="136">
        <v>1</v>
      </c>
      <c r="B20" s="136"/>
      <c r="C20" s="136"/>
      <c r="D20" s="136"/>
      <c r="E20" s="136"/>
      <c r="F20" s="40">
        <v>2</v>
      </c>
      <c r="G20" s="40">
        <v>3</v>
      </c>
      <c r="H20" s="41">
        <v>4</v>
      </c>
      <c r="I20" s="41">
        <v>5</v>
      </c>
      <c r="J20" s="41">
        <v>6</v>
      </c>
    </row>
    <row r="21" spans="1:12" ht="15.75" customHeight="1" x14ac:dyDescent="0.25">
      <c r="A21" s="133" t="s">
        <v>36</v>
      </c>
      <c r="B21" s="139"/>
      <c r="C21" s="139"/>
      <c r="D21" s="139"/>
      <c r="E21" s="139"/>
      <c r="F21" s="105">
        <v>0</v>
      </c>
      <c r="G21" s="105">
        <v>0</v>
      </c>
      <c r="H21" s="23">
        <v>0</v>
      </c>
      <c r="I21" s="23">
        <v>0</v>
      </c>
      <c r="J21" s="23">
        <v>0</v>
      </c>
    </row>
    <row r="22" spans="1:12" x14ac:dyDescent="0.25">
      <c r="A22" s="133" t="s">
        <v>37</v>
      </c>
      <c r="B22" s="130"/>
      <c r="C22" s="130"/>
      <c r="D22" s="130"/>
      <c r="E22" s="130"/>
      <c r="F22" s="117">
        <v>593591.16</v>
      </c>
      <c r="G22" s="117">
        <v>593592</v>
      </c>
      <c r="H22" s="23">
        <v>593592</v>
      </c>
      <c r="I22" s="23">
        <v>805948</v>
      </c>
      <c r="J22" s="23">
        <v>646172</v>
      </c>
    </row>
    <row r="23" spans="1:12" x14ac:dyDescent="0.25">
      <c r="A23" s="131" t="s">
        <v>38</v>
      </c>
      <c r="B23" s="128"/>
      <c r="C23" s="128"/>
      <c r="D23" s="128"/>
      <c r="E23" s="132"/>
      <c r="F23" s="22">
        <f>F21-F22</f>
        <v>-593591.16</v>
      </c>
      <c r="G23" s="22">
        <f>G21-G22</f>
        <v>-593592</v>
      </c>
      <c r="H23" s="22">
        <f>H21-H22</f>
        <v>-593592</v>
      </c>
      <c r="I23" s="22">
        <f t="shared" ref="I23:J23" si="4">I21-I22</f>
        <v>-805948</v>
      </c>
      <c r="J23" s="22">
        <f t="shared" si="4"/>
        <v>-646172</v>
      </c>
    </row>
    <row r="24" spans="1:12" x14ac:dyDescent="0.25">
      <c r="A24" s="137" t="s">
        <v>22</v>
      </c>
      <c r="B24" s="138"/>
      <c r="C24" s="138"/>
      <c r="D24" s="138"/>
      <c r="E24" s="138"/>
      <c r="F24" s="35"/>
      <c r="G24" s="118">
        <v>477598</v>
      </c>
      <c r="H24" s="80">
        <f>63325.8+154356.85</f>
        <v>217682.65000000002</v>
      </c>
      <c r="I24" s="80">
        <v>217683</v>
      </c>
      <c r="J24" s="80"/>
    </row>
    <row r="25" spans="1:12" x14ac:dyDescent="0.25">
      <c r="A25" s="137" t="s">
        <v>39</v>
      </c>
      <c r="B25" s="138"/>
      <c r="C25" s="138"/>
      <c r="D25" s="138"/>
      <c r="E25" s="138"/>
      <c r="F25" s="35"/>
      <c r="G25" s="118">
        <v>217683</v>
      </c>
      <c r="H25" s="80">
        <v>217683</v>
      </c>
      <c r="I25" s="80"/>
      <c r="J25" s="80"/>
    </row>
    <row r="26" spans="1:12" x14ac:dyDescent="0.25">
      <c r="A26" s="127" t="s">
        <v>3</v>
      </c>
      <c r="B26" s="128"/>
      <c r="C26" s="128"/>
      <c r="D26" s="128"/>
      <c r="E26" s="128"/>
      <c r="F26" s="22">
        <f>F23+F24</f>
        <v>-593591.16</v>
      </c>
      <c r="G26" s="22">
        <f>G23+G24-G25</f>
        <v>-333677</v>
      </c>
      <c r="H26" s="22">
        <f>H23+H24-H25</f>
        <v>-593592.35</v>
      </c>
      <c r="I26" s="22">
        <f t="shared" ref="I26:J26" si="5">I23+I24-I25</f>
        <v>-588265</v>
      </c>
      <c r="J26" s="22">
        <f t="shared" si="5"/>
        <v>-646172</v>
      </c>
    </row>
    <row r="27" spans="1:12" x14ac:dyDescent="0.25">
      <c r="A27" s="127" t="s">
        <v>4</v>
      </c>
      <c r="B27" s="128"/>
      <c r="C27" s="128"/>
      <c r="D27" s="128"/>
      <c r="E27" s="128"/>
      <c r="F27" s="106">
        <f>F15+F26</f>
        <v>-8734453.0100000016</v>
      </c>
      <c r="G27" s="106">
        <f>G15+G26</f>
        <v>0</v>
      </c>
      <c r="H27" s="22">
        <f>H15+H26</f>
        <v>-0.34999999997671694</v>
      </c>
      <c r="I27" s="22">
        <f>I15+I26</f>
        <v>0</v>
      </c>
      <c r="J27" s="22">
        <f>J15+J26</f>
        <v>0</v>
      </c>
    </row>
    <row r="28" spans="1:12" ht="11.25" customHeight="1" x14ac:dyDescent="0.25">
      <c r="A28" s="16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</row>
    <row r="29" spans="1:12" ht="1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2" ht="9" customHeight="1" x14ac:dyDescent="0.25"/>
    <row r="31" spans="1:12" ht="15.75" x14ac:dyDescent="0.25">
      <c r="A31" t="s">
        <v>90</v>
      </c>
      <c r="I31" s="83" t="s">
        <v>95</v>
      </c>
    </row>
    <row r="32" spans="1:12" ht="15.75" x14ac:dyDescent="0.25">
      <c r="A32" t="s">
        <v>110</v>
      </c>
      <c r="I32" s="83" t="s">
        <v>127</v>
      </c>
    </row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2" zoomScaleNormal="100" workbookViewId="0">
      <selection activeCell="K32" sqref="K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9" width="16.28515625" style="56" customWidth="1"/>
    <col min="10" max="10" width="14.7109375" style="56" customWidth="1"/>
    <col min="11" max="11" width="13" style="56" customWidth="1"/>
    <col min="12" max="12" width="11.140625" style="56" bestFit="1" customWidth="1"/>
    <col min="13" max="13" width="19" style="56" customWidth="1"/>
    <col min="14" max="16" width="9.140625" style="56"/>
  </cols>
  <sheetData>
    <row r="1" spans="1:16" ht="18" x14ac:dyDescent="0.25">
      <c r="A1" s="4"/>
      <c r="B1" s="4"/>
      <c r="C1" s="4"/>
      <c r="D1" s="4"/>
      <c r="E1" s="4"/>
      <c r="F1" s="4"/>
      <c r="G1" s="4"/>
      <c r="H1" s="4"/>
      <c r="I1" s="79"/>
      <c r="J1" s="79"/>
    </row>
    <row r="2" spans="1:16" ht="15.75" x14ac:dyDescent="0.25">
      <c r="A2" s="124" t="s">
        <v>16</v>
      </c>
      <c r="B2" s="124"/>
      <c r="C2" s="124"/>
      <c r="D2" s="124"/>
      <c r="E2" s="124"/>
      <c r="F2" s="124"/>
      <c r="G2" s="124"/>
      <c r="H2" s="124"/>
      <c r="I2" s="102"/>
      <c r="J2" s="102"/>
    </row>
    <row r="3" spans="1:16" ht="18" x14ac:dyDescent="0.25">
      <c r="A3" s="4"/>
      <c r="B3" s="4"/>
      <c r="C3" s="4"/>
      <c r="D3" s="4"/>
      <c r="E3" s="4"/>
      <c r="F3" s="4"/>
      <c r="G3" s="4"/>
      <c r="H3" s="4"/>
      <c r="I3" s="69"/>
      <c r="J3" s="69"/>
    </row>
    <row r="4" spans="1:16" ht="15.75" x14ac:dyDescent="0.25">
      <c r="A4" s="124" t="s">
        <v>5</v>
      </c>
      <c r="B4" s="124"/>
      <c r="C4" s="124"/>
      <c r="D4" s="124"/>
      <c r="E4" s="124"/>
      <c r="F4" s="124"/>
      <c r="G4" s="124"/>
      <c r="H4" s="124"/>
      <c r="I4" s="103"/>
      <c r="J4" s="103"/>
    </row>
    <row r="5" spans="1:16" ht="18" x14ac:dyDescent="0.25">
      <c r="A5" s="4"/>
      <c r="B5" s="4"/>
      <c r="C5" s="4"/>
      <c r="D5" s="4"/>
      <c r="E5" s="4"/>
      <c r="F5" s="4"/>
      <c r="G5" s="4"/>
      <c r="H5" s="79"/>
      <c r="I5" s="69"/>
      <c r="J5" s="69"/>
    </row>
    <row r="6" spans="1:16" ht="15.75" x14ac:dyDescent="0.25">
      <c r="A6" s="124" t="s">
        <v>40</v>
      </c>
      <c r="B6" s="124"/>
      <c r="C6" s="124"/>
      <c r="D6" s="124"/>
      <c r="E6" s="124"/>
      <c r="F6" s="124"/>
      <c r="G6" s="124"/>
      <c r="H6" s="124"/>
      <c r="I6" s="68"/>
      <c r="J6" s="68"/>
    </row>
    <row r="7" spans="1:16" ht="18" x14ac:dyDescent="0.25">
      <c r="A7" s="4"/>
      <c r="B7" s="4"/>
      <c r="C7" s="4"/>
      <c r="D7" s="4"/>
      <c r="E7" s="4"/>
      <c r="F7" s="4"/>
      <c r="G7" s="4"/>
      <c r="H7" s="4"/>
      <c r="I7" s="69"/>
      <c r="J7" s="69"/>
    </row>
    <row r="8" spans="1:16" ht="25.5" x14ac:dyDescent="0.25">
      <c r="A8" s="140" t="s">
        <v>10</v>
      </c>
      <c r="B8" s="141"/>
      <c r="C8" s="142"/>
      <c r="D8" s="37" t="s">
        <v>102</v>
      </c>
      <c r="E8" s="85" t="s">
        <v>103</v>
      </c>
      <c r="F8" s="38" t="s">
        <v>104</v>
      </c>
      <c r="G8" s="38" t="s">
        <v>96</v>
      </c>
      <c r="H8" s="38" t="s">
        <v>105</v>
      </c>
    </row>
    <row r="9" spans="1:16" s="42" customFormat="1" ht="11.25" x14ac:dyDescent="0.2">
      <c r="A9" s="143">
        <v>1</v>
      </c>
      <c r="B9" s="144"/>
      <c r="C9" s="145"/>
      <c r="D9" s="44">
        <v>2</v>
      </c>
      <c r="E9" s="44">
        <v>3</v>
      </c>
      <c r="F9" s="45">
        <v>4</v>
      </c>
      <c r="G9" s="45">
        <v>5</v>
      </c>
      <c r="H9" s="45">
        <v>6</v>
      </c>
      <c r="I9" s="70"/>
      <c r="J9" s="70"/>
      <c r="K9" s="70"/>
      <c r="L9" s="70"/>
      <c r="M9" s="70"/>
      <c r="N9" s="70"/>
      <c r="O9" s="70"/>
      <c r="P9" s="70"/>
    </row>
    <row r="10" spans="1:16" x14ac:dyDescent="0.25">
      <c r="A10" s="10"/>
      <c r="B10" s="10"/>
      <c r="C10" s="10" t="s">
        <v>42</v>
      </c>
      <c r="D10" s="62">
        <f>D11+D18+D20</f>
        <v>47841476.329999998</v>
      </c>
      <c r="E10" s="62">
        <f>E11+E18+E20</f>
        <v>61799349</v>
      </c>
      <c r="F10" s="62">
        <f>F11+F18+F20</f>
        <v>66613507</v>
      </c>
      <c r="G10" s="62">
        <f t="shared" ref="G10:H10" si="0">G11+G18+G20</f>
        <v>68785918</v>
      </c>
      <c r="H10" s="62">
        <f t="shared" si="0"/>
        <v>72178883</v>
      </c>
    </row>
    <row r="11" spans="1:16" x14ac:dyDescent="0.25">
      <c r="A11" s="10">
        <v>6</v>
      </c>
      <c r="B11" s="10"/>
      <c r="C11" s="10" t="s">
        <v>6</v>
      </c>
      <c r="D11" s="62">
        <f>SUM(D12:D17)</f>
        <v>47841213.159999996</v>
      </c>
      <c r="E11" s="62">
        <f>SUM(E12:E17)</f>
        <v>61539209.259999998</v>
      </c>
      <c r="F11" s="62">
        <f t="shared" ref="F11:H11" si="1">SUM(F12:F17)</f>
        <v>66613257</v>
      </c>
      <c r="G11" s="62">
        <f t="shared" si="1"/>
        <v>68567985</v>
      </c>
      <c r="H11" s="62">
        <f t="shared" si="1"/>
        <v>72178633</v>
      </c>
    </row>
    <row r="12" spans="1:16" ht="25.5" x14ac:dyDescent="0.25">
      <c r="A12" s="13"/>
      <c r="B12" s="13">
        <v>63</v>
      </c>
      <c r="C12" s="13" t="s">
        <v>20</v>
      </c>
      <c r="D12" s="61">
        <v>4489791.29</v>
      </c>
      <c r="E12" s="61">
        <f>70873.86+175309.29+11000</f>
        <v>257183.15000000002</v>
      </c>
      <c r="F12" s="77"/>
      <c r="G12" s="77"/>
      <c r="H12" s="77"/>
    </row>
    <row r="13" spans="1:16" x14ac:dyDescent="0.25">
      <c r="A13" s="10"/>
      <c r="B13" s="13">
        <v>64</v>
      </c>
      <c r="C13" s="13" t="s">
        <v>86</v>
      </c>
      <c r="D13" s="61">
        <v>19589.22</v>
      </c>
      <c r="E13" s="61">
        <f>16600+50000+80.7</f>
        <v>66680.7</v>
      </c>
      <c r="F13" s="77">
        <f>15000+50000+100</f>
        <v>65100</v>
      </c>
      <c r="G13" s="77">
        <v>65100</v>
      </c>
      <c r="H13" s="77">
        <v>65100</v>
      </c>
    </row>
    <row r="14" spans="1:16" ht="25.5" x14ac:dyDescent="0.25">
      <c r="A14" s="10"/>
      <c r="B14" s="13">
        <v>65</v>
      </c>
      <c r="C14" s="13" t="s">
        <v>87</v>
      </c>
      <c r="D14" s="61">
        <v>3891109.42</v>
      </c>
      <c r="E14" s="61">
        <f>3786000+1252+175000+14511.83</f>
        <v>3976763.83</v>
      </c>
      <c r="F14" s="77">
        <f>70000+4600000+100000</f>
        <v>4770000</v>
      </c>
      <c r="G14" s="77">
        <f>70000+4920000+100000</f>
        <v>5090000</v>
      </c>
      <c r="H14" s="77">
        <f>70000+5170000+100000</f>
        <v>5340000</v>
      </c>
    </row>
    <row r="15" spans="1:16" ht="25.5" x14ac:dyDescent="0.25">
      <c r="A15" s="11"/>
      <c r="B15" s="11">
        <v>66</v>
      </c>
      <c r="C15" s="13" t="s">
        <v>23</v>
      </c>
      <c r="D15" s="61">
        <v>1148487.26</v>
      </c>
      <c r="E15" s="61">
        <f>1596858.54+8100+835+12833.74+500</f>
        <v>1619127.28</v>
      </c>
      <c r="F15" s="77">
        <f>700000+20000</f>
        <v>720000</v>
      </c>
      <c r="G15" s="77">
        <v>720000</v>
      </c>
      <c r="H15" s="77">
        <v>720000</v>
      </c>
    </row>
    <row r="16" spans="1:16" ht="25.5" x14ac:dyDescent="0.25">
      <c r="A16" s="74"/>
      <c r="B16" s="74">
        <v>67</v>
      </c>
      <c r="C16" s="108" t="s">
        <v>88</v>
      </c>
      <c r="D16" s="109">
        <f>35746091.14+2454836.86</f>
        <v>38200928</v>
      </c>
      <c r="E16" s="109">
        <f>51159030.3+1812538+2441686+1200</f>
        <v>55414454.299999997</v>
      </c>
      <c r="F16" s="77">
        <f>56772919+3038359+593592+473287</f>
        <v>60878157</v>
      </c>
      <c r="G16" s="77">
        <f>59598614+1635036+805948+473287</f>
        <v>62512885</v>
      </c>
      <c r="H16" s="77">
        <f>62579949+2174125+646172+473287</f>
        <v>65873533</v>
      </c>
    </row>
    <row r="17" spans="1:16" x14ac:dyDescent="0.25">
      <c r="A17" s="11"/>
      <c r="B17" s="11">
        <v>68</v>
      </c>
      <c r="C17" s="13" t="s">
        <v>89</v>
      </c>
      <c r="D17" s="61">
        <v>91307.97</v>
      </c>
      <c r="E17" s="61">
        <f>115000+90000</f>
        <v>205000</v>
      </c>
      <c r="F17" s="77">
        <f>100000+80000</f>
        <v>180000</v>
      </c>
      <c r="G17" s="77">
        <f t="shared" ref="G17:H17" si="2">100000+80000</f>
        <v>180000</v>
      </c>
      <c r="H17" s="77">
        <f t="shared" si="2"/>
        <v>180000</v>
      </c>
      <c r="J17" s="71"/>
    </row>
    <row r="18" spans="1:16" s="54" customFormat="1" x14ac:dyDescent="0.25">
      <c r="A18" s="21">
        <v>7</v>
      </c>
      <c r="B18" s="21"/>
      <c r="C18" s="10" t="s">
        <v>28</v>
      </c>
      <c r="D18" s="62">
        <f>D19</f>
        <v>263.17</v>
      </c>
      <c r="E18" s="62">
        <f>E19</f>
        <v>225</v>
      </c>
      <c r="F18" s="97">
        <f t="shared" ref="F18:H18" si="3">F19</f>
        <v>250</v>
      </c>
      <c r="G18" s="97">
        <f t="shared" si="3"/>
        <v>250</v>
      </c>
      <c r="H18" s="97">
        <f t="shared" si="3"/>
        <v>250</v>
      </c>
      <c r="I18" s="60"/>
      <c r="J18" s="60"/>
      <c r="K18" s="60"/>
      <c r="L18" s="60"/>
      <c r="M18" s="60"/>
      <c r="N18" s="60"/>
      <c r="O18" s="60"/>
      <c r="P18" s="60"/>
    </row>
    <row r="19" spans="1:16" x14ac:dyDescent="0.25">
      <c r="A19" s="11"/>
      <c r="B19" s="11">
        <v>72</v>
      </c>
      <c r="C19" s="31" t="s">
        <v>29</v>
      </c>
      <c r="D19" s="72">
        <v>263.17</v>
      </c>
      <c r="E19" s="72">
        <v>225</v>
      </c>
      <c r="F19" s="9">
        <v>250</v>
      </c>
      <c r="G19" s="9">
        <v>250</v>
      </c>
      <c r="H19" s="9">
        <v>250</v>
      </c>
      <c r="J19" s="71"/>
      <c r="K19" s="71"/>
      <c r="L19" s="71"/>
    </row>
    <row r="20" spans="1:16" s="54" customFormat="1" x14ac:dyDescent="0.25">
      <c r="A20" s="21"/>
      <c r="B20" s="21"/>
      <c r="C20" s="73" t="s">
        <v>109</v>
      </c>
      <c r="D20" s="78">
        <f>D21</f>
        <v>0</v>
      </c>
      <c r="E20" s="78">
        <f>E21-E22</f>
        <v>259914.74</v>
      </c>
      <c r="F20" s="78">
        <f t="shared" ref="F20:H20" si="4">F21-F22</f>
        <v>0</v>
      </c>
      <c r="G20" s="78">
        <f t="shared" si="4"/>
        <v>217683</v>
      </c>
      <c r="H20" s="78">
        <f t="shared" si="4"/>
        <v>0</v>
      </c>
      <c r="I20" s="60"/>
      <c r="J20" s="60"/>
      <c r="K20" s="60"/>
      <c r="L20" s="60"/>
      <c r="M20" s="60"/>
      <c r="N20" s="60"/>
      <c r="O20" s="60"/>
      <c r="P20" s="60"/>
    </row>
    <row r="21" spans="1:16" x14ac:dyDescent="0.25">
      <c r="A21" s="74"/>
      <c r="B21" s="74"/>
      <c r="C21" s="75" t="s">
        <v>107</v>
      </c>
      <c r="D21" s="76">
        <v>0</v>
      </c>
      <c r="E21" s="76">
        <f>73903.46+191342.65+57731.26+263.17+154356.85</f>
        <v>477597.39</v>
      </c>
      <c r="F21" s="77">
        <v>217683</v>
      </c>
      <c r="G21" s="77">
        <v>217683</v>
      </c>
      <c r="H21" s="77">
        <v>0</v>
      </c>
    </row>
    <row r="22" spans="1:16" x14ac:dyDescent="0.25">
      <c r="A22" s="74"/>
      <c r="B22" s="74"/>
      <c r="C22" s="75" t="s">
        <v>108</v>
      </c>
      <c r="D22" s="76">
        <v>0</v>
      </c>
      <c r="E22" s="76">
        <f>63325.8+154356.85</f>
        <v>217682.65000000002</v>
      </c>
      <c r="F22" s="77">
        <v>217683</v>
      </c>
      <c r="G22" s="77">
        <v>0</v>
      </c>
      <c r="H22" s="77">
        <v>0</v>
      </c>
    </row>
    <row r="24" spans="1:16" ht="25.5" customHeight="1" x14ac:dyDescent="0.25">
      <c r="A24" s="140" t="s">
        <v>10</v>
      </c>
      <c r="B24" s="141"/>
      <c r="C24" s="142"/>
      <c r="D24" s="37" t="s">
        <v>102</v>
      </c>
      <c r="E24" s="85" t="s">
        <v>103</v>
      </c>
      <c r="F24" s="38" t="s">
        <v>104</v>
      </c>
      <c r="G24" s="38" t="s">
        <v>96</v>
      </c>
      <c r="H24" s="38" t="s">
        <v>105</v>
      </c>
    </row>
    <row r="25" spans="1:16" s="42" customFormat="1" ht="11.25" x14ac:dyDescent="0.2">
      <c r="A25" s="143">
        <v>1</v>
      </c>
      <c r="B25" s="144"/>
      <c r="C25" s="145"/>
      <c r="D25" s="44">
        <v>2</v>
      </c>
      <c r="E25" s="44">
        <v>3</v>
      </c>
      <c r="F25" s="45">
        <v>4</v>
      </c>
      <c r="G25" s="45">
        <v>5</v>
      </c>
      <c r="H25" s="45">
        <v>6</v>
      </c>
      <c r="I25" s="70"/>
      <c r="J25" s="70"/>
      <c r="K25" s="70"/>
      <c r="L25" s="70"/>
      <c r="M25" s="70"/>
      <c r="N25" s="70"/>
      <c r="O25" s="70"/>
      <c r="P25" s="70"/>
    </row>
    <row r="26" spans="1:16" x14ac:dyDescent="0.25">
      <c r="A26" s="10"/>
      <c r="B26" s="10"/>
      <c r="C26" s="10" t="s">
        <v>43</v>
      </c>
      <c r="D26" s="53">
        <f>D27+D33</f>
        <v>55982338.18</v>
      </c>
      <c r="E26" s="53">
        <f t="shared" ref="E26:H26" si="5">E27+E33</f>
        <v>61205757</v>
      </c>
      <c r="F26" s="53">
        <f t="shared" si="5"/>
        <v>66019915</v>
      </c>
      <c r="G26" s="53">
        <f t="shared" si="5"/>
        <v>67979970</v>
      </c>
      <c r="H26" s="53">
        <f t="shared" si="5"/>
        <v>71532711</v>
      </c>
      <c r="I26" s="56">
        <f>F10-F26</f>
        <v>593592</v>
      </c>
      <c r="J26" s="56">
        <f t="shared" ref="J26:K26" si="6">G10-G26</f>
        <v>805948</v>
      </c>
      <c r="K26" s="56">
        <f t="shared" si="6"/>
        <v>646172</v>
      </c>
    </row>
    <row r="27" spans="1:16" x14ac:dyDescent="0.25">
      <c r="A27" s="10">
        <v>3</v>
      </c>
      <c r="B27" s="10"/>
      <c r="C27" s="10" t="s">
        <v>7</v>
      </c>
      <c r="D27" s="53">
        <f t="shared" ref="D27:E27" si="7">SUM(D28:D32)</f>
        <v>54351789.390000001</v>
      </c>
      <c r="E27" s="53">
        <f t="shared" si="7"/>
        <v>59625080</v>
      </c>
      <c r="F27" s="53">
        <f>SUM(F28:F32)</f>
        <v>63032137</v>
      </c>
      <c r="G27" s="53">
        <f t="shared" ref="G27:H27" si="8">SUM(G28:G32)</f>
        <v>66510165</v>
      </c>
      <c r="H27" s="53">
        <f t="shared" si="8"/>
        <v>69724725</v>
      </c>
    </row>
    <row r="28" spans="1:16" x14ac:dyDescent="0.25">
      <c r="A28" s="10"/>
      <c r="B28" s="13">
        <v>31</v>
      </c>
      <c r="C28" s="13" t="s">
        <v>8</v>
      </c>
      <c r="D28" s="61">
        <v>40654165.060000002</v>
      </c>
      <c r="E28" s="61">
        <f>1059962+44519300+365000</f>
        <v>45944262</v>
      </c>
      <c r="F28" s="9">
        <f>799700+52050314</f>
        <v>52850014</v>
      </c>
      <c r="G28" s="9">
        <f>799700+54718176</f>
        <v>55517876</v>
      </c>
      <c r="H28" s="9">
        <f>799700+57458669</f>
        <v>58258369</v>
      </c>
      <c r="L28" s="60"/>
      <c r="M28" s="60"/>
    </row>
    <row r="29" spans="1:16" x14ac:dyDescent="0.25">
      <c r="A29" s="11"/>
      <c r="B29" s="11">
        <v>32</v>
      </c>
      <c r="C29" s="11" t="s">
        <v>17</v>
      </c>
      <c r="D29" s="98">
        <v>13349311.41</v>
      </c>
      <c r="E29" s="98">
        <f>341000+700+10566964+20200+36500+15000+2441686</f>
        <v>13422050</v>
      </c>
      <c r="F29" s="77">
        <f>0+100+9424596+20000+250+473287</f>
        <v>9918233</v>
      </c>
      <c r="G29" s="77">
        <f>350000+100+9893991+20000+250+473287</f>
        <v>10737628</v>
      </c>
      <c r="H29" s="77">
        <f>350000+100+10376193+20000+250+473287</f>
        <v>11219830</v>
      </c>
    </row>
    <row r="30" spans="1:16" x14ac:dyDescent="0.25">
      <c r="A30" s="11"/>
      <c r="B30" s="11">
        <v>34</v>
      </c>
      <c r="C30" s="11" t="s">
        <v>58</v>
      </c>
      <c r="D30" s="98">
        <v>334925.11</v>
      </c>
      <c r="E30" s="98">
        <f>122269+125099</f>
        <v>247368</v>
      </c>
      <c r="F30" s="77">
        <f>105581+145109</f>
        <v>250690</v>
      </c>
      <c r="G30" s="77">
        <f>87914+152547</f>
        <v>240461</v>
      </c>
      <c r="H30" s="77">
        <f>71139+160187</f>
        <v>231326</v>
      </c>
    </row>
    <row r="31" spans="1:16" x14ac:dyDescent="0.25">
      <c r="A31" s="11"/>
      <c r="B31" s="11">
        <v>37</v>
      </c>
      <c r="C31" s="11" t="s">
        <v>106</v>
      </c>
      <c r="D31" s="98"/>
      <c r="E31" s="98">
        <v>1200</v>
      </c>
      <c r="F31" s="77">
        <v>3000</v>
      </c>
      <c r="G31" s="77">
        <v>4000</v>
      </c>
      <c r="H31" s="77">
        <v>5000</v>
      </c>
    </row>
    <row r="32" spans="1:16" x14ac:dyDescent="0.25">
      <c r="A32" s="11"/>
      <c r="B32" s="11">
        <v>38</v>
      </c>
      <c r="C32" s="11" t="s">
        <v>65</v>
      </c>
      <c r="D32" s="98">
        <v>13387.81</v>
      </c>
      <c r="E32" s="98">
        <f>10200</f>
        <v>10200</v>
      </c>
      <c r="F32" s="77">
        <v>10200</v>
      </c>
      <c r="G32" s="77">
        <v>10200</v>
      </c>
      <c r="H32" s="77">
        <v>10200</v>
      </c>
    </row>
    <row r="33" spans="1:8" x14ac:dyDescent="0.25">
      <c r="A33" s="12">
        <v>4</v>
      </c>
      <c r="B33" s="12"/>
      <c r="C33" s="19" t="s">
        <v>9</v>
      </c>
      <c r="D33" s="53">
        <f>SUM(D34:D35)</f>
        <v>1630548.79</v>
      </c>
      <c r="E33" s="99">
        <f>SUM(E34:E35)</f>
        <v>1580677</v>
      </c>
      <c r="F33" s="23">
        <f>SUM(F34:F35)</f>
        <v>2987778</v>
      </c>
      <c r="G33" s="23">
        <f t="shared" ref="G33:H33" si="9">SUM(G34:G35)</f>
        <v>1469805</v>
      </c>
      <c r="H33" s="23">
        <f t="shared" si="9"/>
        <v>1807986</v>
      </c>
    </row>
    <row r="34" spans="1:8" x14ac:dyDescent="0.25">
      <c r="A34" s="13"/>
      <c r="B34" s="13">
        <v>42</v>
      </c>
      <c r="C34" s="20" t="s">
        <v>60</v>
      </c>
      <c r="D34" s="61">
        <v>1462057.04</v>
      </c>
      <c r="E34" s="100">
        <f>408040+222000+43000</f>
        <v>673040</v>
      </c>
      <c r="F34" s="77">
        <f>2750090+40000</f>
        <v>2790090</v>
      </c>
      <c r="G34" s="77">
        <f>814434+40000</f>
        <v>854434</v>
      </c>
      <c r="H34" s="77">
        <f>770298+40000</f>
        <v>810298</v>
      </c>
    </row>
    <row r="35" spans="1:8" ht="25.5" x14ac:dyDescent="0.25">
      <c r="A35" s="13"/>
      <c r="B35" s="13">
        <v>45</v>
      </c>
      <c r="C35" s="20" t="s">
        <v>61</v>
      </c>
      <c r="D35" s="61">
        <v>168491.75</v>
      </c>
      <c r="E35" s="100">
        <f>347637+560000</f>
        <v>907637</v>
      </c>
      <c r="F35" s="77">
        <f>182688+15000</f>
        <v>197688</v>
      </c>
      <c r="G35" s="77">
        <f>382688+15000+217683</f>
        <v>615371</v>
      </c>
      <c r="H35" s="77">
        <f>982688+15000</f>
        <v>997688</v>
      </c>
    </row>
    <row r="37" spans="1:8" x14ac:dyDescent="0.25">
      <c r="F37" s="56"/>
      <c r="G37" s="56"/>
      <c r="H37" s="56"/>
    </row>
    <row r="40" spans="1:8" x14ac:dyDescent="0.25">
      <c r="F40" s="56"/>
      <c r="G40" s="56"/>
      <c r="H40" s="56"/>
    </row>
  </sheetData>
  <mergeCells count="7">
    <mergeCell ref="A24:C24"/>
    <mergeCell ref="A9:C9"/>
    <mergeCell ref="A25:C25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9"/>
  <sheetViews>
    <sheetView zoomScaleNormal="100" workbookViewId="0">
      <selection activeCell="K24" sqref="K24"/>
    </sheetView>
  </sheetViews>
  <sheetFormatPr defaultRowHeight="15" x14ac:dyDescent="0.25"/>
  <cols>
    <col min="1" max="1" width="44.7109375" customWidth="1"/>
    <col min="2" max="7" width="19.42578125" customWidth="1"/>
    <col min="8" max="8" width="14.7109375" customWidth="1"/>
    <col min="9" max="9" width="13.85546875" style="56" customWidth="1"/>
    <col min="10" max="10" width="12.42578125" style="56" customWidth="1"/>
    <col min="11" max="11" width="14" style="56" customWidth="1"/>
    <col min="12" max="12" width="18" style="56" customWidth="1"/>
    <col min="13" max="13" width="9.140625" style="56"/>
    <col min="14" max="14" width="12.28515625" style="56" customWidth="1"/>
    <col min="15" max="26" width="9.140625" style="56"/>
  </cols>
  <sheetData>
    <row r="1" spans="1:26" ht="18" x14ac:dyDescent="0.25">
      <c r="A1" s="4"/>
      <c r="B1" s="4"/>
      <c r="C1" s="4"/>
      <c r="D1" s="4"/>
      <c r="E1" s="4"/>
      <c r="F1" s="4"/>
      <c r="G1" s="4"/>
      <c r="H1" s="4"/>
      <c r="I1" s="67"/>
      <c r="J1" s="67"/>
    </row>
    <row r="2" spans="1:26" ht="15.75" customHeight="1" x14ac:dyDescent="0.25">
      <c r="A2" s="124" t="s">
        <v>41</v>
      </c>
      <c r="B2" s="124"/>
      <c r="C2" s="124"/>
      <c r="D2" s="124"/>
      <c r="E2" s="124"/>
      <c r="F2" s="124"/>
      <c r="G2" s="91"/>
      <c r="H2" s="114"/>
      <c r="I2" s="68"/>
      <c r="J2" s="68"/>
    </row>
    <row r="3" spans="1:26" ht="18" x14ac:dyDescent="0.25">
      <c r="A3" s="4"/>
      <c r="B3" s="4"/>
      <c r="C3" s="4"/>
      <c r="D3" s="4"/>
      <c r="E3" s="4"/>
      <c r="F3" s="4"/>
      <c r="G3" s="4"/>
      <c r="H3" s="4"/>
      <c r="I3" s="4"/>
      <c r="J3" s="69"/>
    </row>
    <row r="4" spans="1:26" ht="25.5" customHeight="1" x14ac:dyDescent="0.25">
      <c r="A4" s="39" t="s">
        <v>10</v>
      </c>
      <c r="B4" s="37" t="s">
        <v>102</v>
      </c>
      <c r="C4" s="85" t="s">
        <v>103</v>
      </c>
      <c r="D4" s="38" t="s">
        <v>104</v>
      </c>
      <c r="E4" s="38" t="s">
        <v>96</v>
      </c>
      <c r="F4" s="38" t="s">
        <v>105</v>
      </c>
      <c r="G4" s="92"/>
      <c r="H4" s="115"/>
    </row>
    <row r="5" spans="1:26" s="42" customFormat="1" ht="11.25" x14ac:dyDescent="0.2">
      <c r="A5" s="46">
        <v>1</v>
      </c>
      <c r="B5" s="44">
        <v>2</v>
      </c>
      <c r="C5" s="44">
        <v>3</v>
      </c>
      <c r="D5" s="45">
        <v>4</v>
      </c>
      <c r="E5" s="45">
        <v>5</v>
      </c>
      <c r="F5" s="45">
        <v>6</v>
      </c>
      <c r="G5" s="112"/>
      <c r="H5" s="116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x14ac:dyDescent="0.25">
      <c r="A6" s="10" t="s">
        <v>42</v>
      </c>
      <c r="B6" s="62">
        <f>B7+B9+B11+B13+B15+B17+B19</f>
        <v>47841476.329999998</v>
      </c>
      <c r="C6" s="62">
        <f t="shared" ref="C6:F6" si="0">C7+C9+C11+C13+C15+C17+C19</f>
        <v>61799349</v>
      </c>
      <c r="D6" s="62">
        <f t="shared" si="0"/>
        <v>66613507</v>
      </c>
      <c r="E6" s="62">
        <f t="shared" si="0"/>
        <v>68785917.849999994</v>
      </c>
      <c r="F6" s="62">
        <f t="shared" si="0"/>
        <v>72178883</v>
      </c>
      <c r="G6" s="113"/>
      <c r="H6" s="113"/>
    </row>
    <row r="7" spans="1:26" x14ac:dyDescent="0.25">
      <c r="A7" s="10" t="s">
        <v>24</v>
      </c>
      <c r="B7" s="62">
        <f>B8</f>
        <v>2454836.86</v>
      </c>
      <c r="C7" s="62">
        <f t="shared" ref="C7:F7" si="1">C8</f>
        <v>4254224</v>
      </c>
      <c r="D7" s="62">
        <f t="shared" si="1"/>
        <v>4105238</v>
      </c>
      <c r="E7" s="62">
        <f t="shared" si="1"/>
        <v>2914271</v>
      </c>
      <c r="F7" s="62">
        <f t="shared" si="1"/>
        <v>3293584</v>
      </c>
      <c r="G7" s="113"/>
      <c r="H7" s="113"/>
    </row>
    <row r="8" spans="1:26" x14ac:dyDescent="0.25">
      <c r="A8" s="110" t="s">
        <v>25</v>
      </c>
      <c r="B8" s="109">
        <f>1861245.7+593591.16</f>
        <v>2454836.86</v>
      </c>
      <c r="C8" s="109">
        <f>1812538+2441686</f>
        <v>4254224</v>
      </c>
      <c r="D8" s="77">
        <v>4105238</v>
      </c>
      <c r="E8" s="77">
        <v>2914271</v>
      </c>
      <c r="F8" s="77">
        <v>3293584</v>
      </c>
      <c r="G8" s="71"/>
      <c r="H8" s="113"/>
    </row>
    <row r="9" spans="1:26" s="54" customFormat="1" x14ac:dyDescent="0.25">
      <c r="A9" s="10" t="s">
        <v>26</v>
      </c>
      <c r="B9" s="62">
        <f>B10</f>
        <v>946071.83</v>
      </c>
      <c r="C9" s="62">
        <f t="shared" ref="C9:F9" si="2">C10</f>
        <v>1852862</v>
      </c>
      <c r="D9" s="62">
        <f t="shared" si="2"/>
        <v>865000</v>
      </c>
      <c r="E9" s="62">
        <f t="shared" si="2"/>
        <v>865000</v>
      </c>
      <c r="F9" s="62">
        <f t="shared" si="2"/>
        <v>865000</v>
      </c>
      <c r="G9" s="113"/>
      <c r="H9" s="11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x14ac:dyDescent="0.25">
      <c r="A10" s="30" t="s">
        <v>27</v>
      </c>
      <c r="B10" s="61">
        <v>946071.83</v>
      </c>
      <c r="C10" s="61">
        <v>1852862</v>
      </c>
      <c r="D10" s="9">
        <v>865000</v>
      </c>
      <c r="E10" s="9">
        <v>865000</v>
      </c>
      <c r="F10" s="9">
        <v>865000</v>
      </c>
      <c r="G10" s="71"/>
      <c r="H10" s="113"/>
      <c r="J10" s="71"/>
    </row>
    <row r="11" spans="1:26" s="54" customFormat="1" x14ac:dyDescent="0.25">
      <c r="A11" s="10" t="s">
        <v>78</v>
      </c>
      <c r="B11" s="62">
        <f>B12</f>
        <v>39637200.560000002</v>
      </c>
      <c r="C11" s="62">
        <f t="shared" ref="C11:F11" si="3">C12</f>
        <v>55212563</v>
      </c>
      <c r="D11" s="62">
        <f t="shared" si="3"/>
        <v>61623019</v>
      </c>
      <c r="E11" s="62">
        <f t="shared" si="3"/>
        <v>64768714</v>
      </c>
      <c r="F11" s="62">
        <f t="shared" si="3"/>
        <v>68000049</v>
      </c>
      <c r="G11" s="113"/>
      <c r="H11" s="113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25">
      <c r="A12" s="13" t="s">
        <v>79</v>
      </c>
      <c r="B12" s="61">
        <v>39637200.560000002</v>
      </c>
      <c r="C12" s="61">
        <v>55212563</v>
      </c>
      <c r="D12" s="9">
        <v>61623019</v>
      </c>
      <c r="E12" s="9">
        <v>64768714</v>
      </c>
      <c r="F12" s="9">
        <v>68000049</v>
      </c>
      <c r="G12" s="113"/>
      <c r="H12" s="113"/>
      <c r="J12" s="71"/>
    </row>
    <row r="13" spans="1:26" s="54" customFormat="1" x14ac:dyDescent="0.25">
      <c r="A13" s="10" t="s">
        <v>80</v>
      </c>
      <c r="B13" s="62">
        <f>B14</f>
        <v>4489791.29</v>
      </c>
      <c r="C13" s="62">
        <f t="shared" ref="C13:F13" si="4">C14</f>
        <v>385200</v>
      </c>
      <c r="D13" s="62">
        <f t="shared" si="4"/>
        <v>0</v>
      </c>
      <c r="E13" s="62">
        <f t="shared" si="4"/>
        <v>63326</v>
      </c>
      <c r="F13" s="62">
        <f t="shared" si="4"/>
        <v>0</v>
      </c>
      <c r="G13" s="113"/>
      <c r="H13" s="113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25">
      <c r="A14" s="13" t="s">
        <v>118</v>
      </c>
      <c r="B14" s="61">
        <v>4489791.29</v>
      </c>
      <c r="C14" s="61">
        <v>385200</v>
      </c>
      <c r="D14" s="9"/>
      <c r="E14" s="9">
        <v>63326</v>
      </c>
      <c r="F14" s="9"/>
      <c r="G14" s="71"/>
      <c r="H14" s="113"/>
    </row>
    <row r="15" spans="1:26" s="54" customFormat="1" x14ac:dyDescent="0.25">
      <c r="A15" s="10" t="s">
        <v>81</v>
      </c>
      <c r="B15" s="62">
        <f>B16</f>
        <v>313312.62</v>
      </c>
      <c r="C15" s="62">
        <f>C16</f>
        <v>79500</v>
      </c>
      <c r="D15" s="62">
        <f t="shared" ref="D15:F15" si="5">D16</f>
        <v>20000</v>
      </c>
      <c r="E15" s="62">
        <f t="shared" si="5"/>
        <v>20000</v>
      </c>
      <c r="F15" s="62">
        <f t="shared" si="5"/>
        <v>20000</v>
      </c>
      <c r="G15" s="113"/>
      <c r="H15" s="11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25">
      <c r="A16" s="13" t="s">
        <v>82</v>
      </c>
      <c r="B16" s="61">
        <v>313312.62</v>
      </c>
      <c r="C16" s="61">
        <v>79500</v>
      </c>
      <c r="D16" s="9">
        <v>20000</v>
      </c>
      <c r="E16" s="9">
        <v>20000</v>
      </c>
      <c r="F16" s="9">
        <v>20000</v>
      </c>
      <c r="G16" s="71"/>
      <c r="H16" s="113"/>
    </row>
    <row r="17" spans="1:26" s="54" customFormat="1" ht="25.5" x14ac:dyDescent="0.25">
      <c r="A17" s="10" t="s">
        <v>83</v>
      </c>
      <c r="B17" s="62">
        <f>B18</f>
        <v>263.17</v>
      </c>
      <c r="C17" s="62">
        <f t="shared" ref="C17:F17" si="6">C18</f>
        <v>15000</v>
      </c>
      <c r="D17" s="62">
        <f t="shared" si="6"/>
        <v>250</v>
      </c>
      <c r="E17" s="62">
        <f t="shared" si="6"/>
        <v>250</v>
      </c>
      <c r="F17" s="62">
        <f t="shared" si="6"/>
        <v>250</v>
      </c>
      <c r="G17" s="113"/>
      <c r="H17" s="11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25.5" x14ac:dyDescent="0.25">
      <c r="A18" s="13" t="s">
        <v>85</v>
      </c>
      <c r="B18" s="96">
        <v>263.17</v>
      </c>
      <c r="C18" s="96">
        <v>15000</v>
      </c>
      <c r="D18" s="9">
        <v>250</v>
      </c>
      <c r="E18" s="9">
        <v>250</v>
      </c>
      <c r="F18" s="9">
        <v>250</v>
      </c>
      <c r="G18" s="71"/>
      <c r="H18" s="113"/>
    </row>
    <row r="19" spans="1:26" s="60" customFormat="1" x14ac:dyDescent="0.25">
      <c r="A19" s="55" t="s">
        <v>112</v>
      </c>
      <c r="B19" s="59">
        <f t="shared" ref="B19:C19" si="7">SUM(B20:B21)</f>
        <v>0</v>
      </c>
      <c r="C19" s="59">
        <f t="shared" si="7"/>
        <v>0</v>
      </c>
      <c r="D19" s="59">
        <f>SUM(D20:D21)</f>
        <v>0</v>
      </c>
      <c r="E19" s="59">
        <f t="shared" ref="E19:F19" si="8">SUM(E20:E21)</f>
        <v>154356.85</v>
      </c>
      <c r="F19" s="59">
        <f t="shared" si="8"/>
        <v>0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6" s="56" customFormat="1" x14ac:dyDescent="0.25">
      <c r="A20" s="57" t="s">
        <v>113</v>
      </c>
      <c r="B20" s="58"/>
      <c r="C20" s="58"/>
      <c r="D20" s="58"/>
      <c r="E20" s="58">
        <v>154356.85</v>
      </c>
      <c r="F20" s="58">
        <v>0</v>
      </c>
    </row>
    <row r="21" spans="1:26" s="66" customFormat="1" ht="12.75" x14ac:dyDescent="0.2">
      <c r="A21" s="64"/>
      <c r="B21" s="65"/>
      <c r="C21" s="65"/>
      <c r="D21" s="49"/>
      <c r="E21" s="49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s="66" customFormat="1" ht="12.75" x14ac:dyDescent="0.2">
      <c r="A22" s="64"/>
      <c r="B22" s="65"/>
      <c r="C22" s="65"/>
      <c r="D22" s="49"/>
      <c r="E22" s="49"/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10" t="s">
        <v>43</v>
      </c>
      <c r="B23" s="53">
        <f>B24+B26+B28+B30+B32+B34+B36</f>
        <v>55982337.859999999</v>
      </c>
      <c r="C23" s="53">
        <f>C24+C26+C28+C30+C32+C34+C36</f>
        <v>61205757</v>
      </c>
      <c r="D23" s="53">
        <f>D24+D26+D28+D30+D32+D34+D36</f>
        <v>66019915</v>
      </c>
      <c r="E23" s="53">
        <f t="shared" ref="E23:F23" si="9">E24+E26+E28+E30+E32+E34+E36</f>
        <v>67979969.649999991</v>
      </c>
      <c r="F23" s="53">
        <f t="shared" si="9"/>
        <v>71532711</v>
      </c>
      <c r="G23" s="60">
        <f>C6-C23</f>
        <v>593592</v>
      </c>
      <c r="H23" s="60">
        <f t="shared" ref="H23:J23" si="10">D6-D23</f>
        <v>593592</v>
      </c>
      <c r="I23" s="60">
        <f t="shared" si="10"/>
        <v>805948.20000000298</v>
      </c>
      <c r="J23" s="60">
        <f t="shared" si="10"/>
        <v>646172</v>
      </c>
      <c r="K23" s="60" t="s">
        <v>121</v>
      </c>
      <c r="L23" s="60"/>
      <c r="M23" s="60"/>
    </row>
    <row r="24" spans="1:26" s="54" customFormat="1" x14ac:dyDescent="0.25">
      <c r="A24" s="10" t="s">
        <v>24</v>
      </c>
      <c r="B24" s="53">
        <f t="shared" ref="B24:C24" si="11">B25</f>
        <v>1861245.8599999999</v>
      </c>
      <c r="C24" s="53">
        <f t="shared" si="11"/>
        <v>3660632</v>
      </c>
      <c r="D24" s="53">
        <f>D25</f>
        <v>3511646</v>
      </c>
      <c r="E24" s="53">
        <f t="shared" ref="E24:F24" si="12">E25</f>
        <v>2108323</v>
      </c>
      <c r="F24" s="53">
        <f t="shared" si="12"/>
        <v>2647412</v>
      </c>
      <c r="G24" s="93"/>
      <c r="H24" s="93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60"/>
      <c r="Z24" s="60"/>
    </row>
    <row r="25" spans="1:26" x14ac:dyDescent="0.25">
      <c r="A25" s="29" t="s">
        <v>25</v>
      </c>
      <c r="B25" s="61">
        <f>B8-593591</f>
        <v>1861245.8599999999</v>
      </c>
      <c r="C25" s="61">
        <f>C8-593592</f>
        <v>3660632</v>
      </c>
      <c r="D25" s="77">
        <f>3038359+473287</f>
        <v>3511646</v>
      </c>
      <c r="E25" s="77">
        <f>1635036+473287</f>
        <v>2108323</v>
      </c>
      <c r="F25" s="77">
        <f>2174125+473287</f>
        <v>2647412</v>
      </c>
      <c r="H25" s="71">
        <f>D8-D25</f>
        <v>593592</v>
      </c>
      <c r="I25" s="71">
        <f>E8-E25</f>
        <v>805948</v>
      </c>
      <c r="J25" s="71">
        <f>F8-F25</f>
        <v>646172</v>
      </c>
    </row>
    <row r="26" spans="1:26" s="54" customFormat="1" x14ac:dyDescent="0.25">
      <c r="A26" s="10" t="s">
        <v>26</v>
      </c>
      <c r="B26" s="53">
        <f t="shared" ref="B26:C26" si="13">B27</f>
        <v>802116</v>
      </c>
      <c r="C26" s="53">
        <f t="shared" si="13"/>
        <v>1852862</v>
      </c>
      <c r="D26" s="23">
        <f>D27</f>
        <v>865000</v>
      </c>
      <c r="E26" s="23">
        <f t="shared" ref="E26:F26" si="14">E27</f>
        <v>865000</v>
      </c>
      <c r="F26" s="23">
        <f t="shared" si="14"/>
        <v>865000</v>
      </c>
      <c r="G26" s="93"/>
      <c r="H26" s="93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60"/>
      <c r="Z26" s="60"/>
    </row>
    <row r="27" spans="1:26" x14ac:dyDescent="0.25">
      <c r="A27" s="30" t="s">
        <v>27</v>
      </c>
      <c r="B27" s="61">
        <v>802116</v>
      </c>
      <c r="C27" s="61">
        <v>1852862</v>
      </c>
      <c r="D27" s="9">
        <v>865000</v>
      </c>
      <c r="E27" s="9">
        <v>865000</v>
      </c>
      <c r="F27" s="9">
        <v>865000</v>
      </c>
      <c r="G27" s="71"/>
      <c r="H27" s="71"/>
    </row>
    <row r="28" spans="1:26" s="54" customFormat="1" x14ac:dyDescent="0.25">
      <c r="A28" s="10" t="s">
        <v>78</v>
      </c>
      <c r="B28" s="53">
        <f t="shared" ref="B28:C28" si="15">B29</f>
        <v>48485860</v>
      </c>
      <c r="C28" s="53">
        <f t="shared" si="15"/>
        <v>55212563</v>
      </c>
      <c r="D28" s="53">
        <f>D29</f>
        <v>61623019</v>
      </c>
      <c r="E28" s="53">
        <f t="shared" ref="E28:F28" si="16">E29</f>
        <v>64768714</v>
      </c>
      <c r="F28" s="53">
        <f t="shared" si="16"/>
        <v>68000049</v>
      </c>
      <c r="G28" s="93"/>
      <c r="H28" s="93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60"/>
      <c r="Z28" s="60"/>
    </row>
    <row r="29" spans="1:26" x14ac:dyDescent="0.25">
      <c r="A29" s="13" t="s">
        <v>79</v>
      </c>
      <c r="B29" s="61">
        <v>48485860</v>
      </c>
      <c r="C29" s="61">
        <v>55212563</v>
      </c>
      <c r="D29" s="9">
        <v>61623019</v>
      </c>
      <c r="E29" s="9">
        <v>64768714</v>
      </c>
      <c r="F29" s="9">
        <v>68000049</v>
      </c>
      <c r="G29" s="71"/>
      <c r="H29" s="71"/>
    </row>
    <row r="30" spans="1:26" s="54" customFormat="1" x14ac:dyDescent="0.25">
      <c r="A30" s="10" t="s">
        <v>80</v>
      </c>
      <c r="B30" s="59">
        <f t="shared" ref="B30:C30" si="17">B31</f>
        <v>4740976</v>
      </c>
      <c r="C30" s="59">
        <f t="shared" si="17"/>
        <v>385200</v>
      </c>
      <c r="D30" s="59">
        <f>D31</f>
        <v>0</v>
      </c>
      <c r="E30" s="59">
        <f t="shared" ref="E30:F30" si="18">E31</f>
        <v>63325.8</v>
      </c>
      <c r="F30" s="59">
        <f t="shared" si="18"/>
        <v>0</v>
      </c>
      <c r="G30" s="60"/>
      <c r="H30" s="60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0"/>
      <c r="Z30" s="60"/>
    </row>
    <row r="31" spans="1:26" x14ac:dyDescent="0.25">
      <c r="A31" s="13" t="s">
        <v>118</v>
      </c>
      <c r="B31" s="63">
        <v>4740976</v>
      </c>
      <c r="C31" s="63">
        <v>385200</v>
      </c>
      <c r="D31" s="58"/>
      <c r="E31" s="58">
        <v>63325.8</v>
      </c>
      <c r="F31" s="58"/>
      <c r="G31" s="56"/>
      <c r="H31" s="56"/>
    </row>
    <row r="32" spans="1:26" s="54" customFormat="1" x14ac:dyDescent="0.25">
      <c r="A32" s="10" t="s">
        <v>81</v>
      </c>
      <c r="B32" s="59">
        <f t="shared" ref="B32:C32" si="19">B33</f>
        <v>92140</v>
      </c>
      <c r="C32" s="59">
        <f t="shared" si="19"/>
        <v>79500</v>
      </c>
      <c r="D32" s="59">
        <f>D33</f>
        <v>20000</v>
      </c>
      <c r="E32" s="59">
        <f t="shared" ref="E32:F32" si="20">E33</f>
        <v>20000</v>
      </c>
      <c r="F32" s="59">
        <f t="shared" si="20"/>
        <v>20000</v>
      </c>
      <c r="G32" s="60"/>
      <c r="H32" s="6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60"/>
      <c r="Z32" s="60"/>
    </row>
    <row r="33" spans="1:24" x14ac:dyDescent="0.25">
      <c r="A33" s="13" t="s">
        <v>82</v>
      </c>
      <c r="B33" s="58">
        <v>92140</v>
      </c>
      <c r="C33" s="58">
        <v>79500</v>
      </c>
      <c r="D33" s="58">
        <v>20000</v>
      </c>
      <c r="E33" s="58">
        <v>20000</v>
      </c>
      <c r="F33" s="58">
        <v>20000</v>
      </c>
      <c r="G33" s="56"/>
      <c r="H33" s="56"/>
    </row>
    <row r="34" spans="1:24" s="60" customFormat="1" ht="25.5" x14ac:dyDescent="0.25">
      <c r="A34" s="55" t="s">
        <v>84</v>
      </c>
      <c r="B34" s="59">
        <f t="shared" ref="B34:C34" si="21">B35</f>
        <v>0</v>
      </c>
      <c r="C34" s="59">
        <f t="shared" si="21"/>
        <v>15000</v>
      </c>
      <c r="D34" s="59">
        <f>D35</f>
        <v>250</v>
      </c>
      <c r="E34" s="59">
        <f t="shared" ref="E34:F34" si="22">E35</f>
        <v>250</v>
      </c>
      <c r="F34" s="59">
        <f t="shared" si="22"/>
        <v>250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4" s="56" customFormat="1" ht="25.5" x14ac:dyDescent="0.25">
      <c r="A35" s="57" t="s">
        <v>85</v>
      </c>
      <c r="B35" s="58">
        <v>0</v>
      </c>
      <c r="C35" s="58">
        <v>15000</v>
      </c>
      <c r="D35" s="58">
        <v>250</v>
      </c>
      <c r="E35" s="58">
        <v>250</v>
      </c>
      <c r="F35" s="58">
        <v>250</v>
      </c>
    </row>
    <row r="36" spans="1:24" s="60" customFormat="1" x14ac:dyDescent="0.25">
      <c r="A36" s="55" t="s">
        <v>112</v>
      </c>
      <c r="B36" s="59">
        <f t="shared" ref="B36:C36" si="23">SUM(B37:B38)</f>
        <v>0</v>
      </c>
      <c r="C36" s="59">
        <f t="shared" si="23"/>
        <v>0</v>
      </c>
      <c r="D36" s="59">
        <f>SUM(D37:D38)</f>
        <v>0</v>
      </c>
      <c r="E36" s="59">
        <f t="shared" ref="E36:F36" si="24">SUM(E37:E38)</f>
        <v>154356.85</v>
      </c>
      <c r="F36" s="59">
        <f t="shared" si="24"/>
        <v>0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</row>
    <row r="37" spans="1:24" s="56" customFormat="1" x14ac:dyDescent="0.25">
      <c r="A37" s="57" t="s">
        <v>120</v>
      </c>
      <c r="B37" s="58"/>
      <c r="C37" s="58"/>
      <c r="D37" s="58"/>
      <c r="E37" s="58">
        <v>154356.85</v>
      </c>
      <c r="F37" s="58">
        <v>0</v>
      </c>
    </row>
    <row r="38" spans="1:24" s="56" customFormat="1" x14ac:dyDescent="0.25">
      <c r="A38" s="49"/>
      <c r="B38" s="58"/>
      <c r="C38" s="58"/>
      <c r="D38" s="58"/>
      <c r="E38" s="58">
        <v>0</v>
      </c>
      <c r="F38" s="58">
        <v>0</v>
      </c>
    </row>
    <row r="39" spans="1:24" x14ac:dyDescent="0.25">
      <c r="A39" t="s">
        <v>119</v>
      </c>
    </row>
  </sheetData>
  <mergeCells count="1">
    <mergeCell ref="A2:F2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zoomScaleNormal="100" workbookViewId="0">
      <selection activeCell="E9" sqref="E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4"/>
      <c r="B1" s="4"/>
      <c r="C1" s="4"/>
      <c r="D1" s="4"/>
      <c r="E1" s="4"/>
      <c r="F1" s="4"/>
      <c r="G1" s="4"/>
      <c r="H1" s="4"/>
    </row>
    <row r="2" spans="1:8" ht="15.75" customHeight="1" x14ac:dyDescent="0.25">
      <c r="A2" s="124" t="s">
        <v>44</v>
      </c>
      <c r="B2" s="124"/>
      <c r="C2" s="124"/>
      <c r="D2" s="124"/>
      <c r="E2" s="124"/>
      <c r="F2" s="124"/>
      <c r="G2" s="111"/>
      <c r="H2" s="111"/>
    </row>
    <row r="3" spans="1:8" ht="18" x14ac:dyDescent="0.25">
      <c r="A3" s="4"/>
      <c r="B3" s="4"/>
      <c r="C3" s="4"/>
      <c r="D3" s="4"/>
      <c r="E3" s="4"/>
      <c r="F3" s="4"/>
      <c r="G3" s="5"/>
      <c r="H3" s="5"/>
    </row>
    <row r="4" spans="1:8" ht="25.5" customHeight="1" x14ac:dyDescent="0.25">
      <c r="A4" s="39" t="s">
        <v>10</v>
      </c>
      <c r="B4" s="37" t="s">
        <v>102</v>
      </c>
      <c r="C4" s="85" t="s">
        <v>103</v>
      </c>
      <c r="D4" s="38" t="s">
        <v>104</v>
      </c>
      <c r="E4" s="38" t="s">
        <v>96</v>
      </c>
      <c r="F4" s="38" t="s">
        <v>105</v>
      </c>
    </row>
    <row r="5" spans="1:8" s="42" customFormat="1" ht="11.25" x14ac:dyDescent="0.2">
      <c r="A5" s="46">
        <v>1</v>
      </c>
      <c r="B5" s="44">
        <v>2</v>
      </c>
      <c r="C5" s="44">
        <v>3</v>
      </c>
      <c r="D5" s="45">
        <v>4</v>
      </c>
      <c r="E5" s="45">
        <v>5</v>
      </c>
      <c r="F5" s="45">
        <v>6</v>
      </c>
    </row>
    <row r="6" spans="1:8" x14ac:dyDescent="0.25">
      <c r="A6" s="10" t="s">
        <v>43</v>
      </c>
      <c r="B6" s="10"/>
      <c r="C6" s="10"/>
      <c r="D6" s="9"/>
      <c r="E6" s="9"/>
      <c r="F6" s="9"/>
    </row>
    <row r="7" spans="1:8" x14ac:dyDescent="0.25">
      <c r="A7" s="10" t="s">
        <v>11</v>
      </c>
      <c r="B7" s="10"/>
      <c r="C7" s="10"/>
      <c r="D7" s="9"/>
      <c r="E7" s="9"/>
      <c r="F7" s="9"/>
    </row>
    <row r="8" spans="1:8" ht="25.5" x14ac:dyDescent="0.25">
      <c r="A8" s="13" t="s">
        <v>77</v>
      </c>
      <c r="B8" s="96">
        <f>56575929-593591</f>
        <v>55982338</v>
      </c>
      <c r="C8" s="96">
        <f>61799349-593592</f>
        <v>61205757</v>
      </c>
      <c r="D8" s="77">
        <v>66019915</v>
      </c>
      <c r="E8" s="77">
        <f>67762287+217683</f>
        <v>67979970</v>
      </c>
      <c r="F8" s="77">
        <v>71532711</v>
      </c>
    </row>
    <row r="10" spans="1:8" x14ac:dyDescent="0.25">
      <c r="B10" s="56"/>
      <c r="C10" s="56"/>
      <c r="D10" s="56"/>
    </row>
    <row r="11" spans="1:8" x14ac:dyDescent="0.25">
      <c r="A11" s="42" t="s">
        <v>100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zoomScaleNormal="100" workbookViewId="0">
      <selection activeCell="H15" sqref="H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5.75" x14ac:dyDescent="0.25">
      <c r="A2" s="124" t="s">
        <v>16</v>
      </c>
      <c r="B2" s="124"/>
      <c r="C2" s="124"/>
      <c r="D2" s="124"/>
      <c r="E2" s="124"/>
      <c r="F2" s="124"/>
      <c r="G2" s="124"/>
      <c r="H2" s="124"/>
      <c r="I2" s="33"/>
      <c r="J2" s="33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ht="15.75" x14ac:dyDescent="0.25">
      <c r="A4" s="124" t="s">
        <v>12</v>
      </c>
      <c r="B4" s="124"/>
      <c r="C4" s="124"/>
      <c r="D4" s="124"/>
      <c r="E4" s="124"/>
      <c r="F4" s="124"/>
      <c r="G4" s="124"/>
      <c r="H4" s="124"/>
      <c r="I4" s="32"/>
      <c r="J4" s="32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124" t="s">
        <v>45</v>
      </c>
      <c r="B6" s="124"/>
      <c r="C6" s="124"/>
      <c r="D6" s="124"/>
      <c r="E6" s="124"/>
      <c r="F6" s="124"/>
      <c r="G6" s="124"/>
      <c r="H6" s="124"/>
      <c r="I6" s="111"/>
      <c r="J6" s="111"/>
    </row>
    <row r="7" spans="1:10" ht="18" x14ac:dyDescent="0.25">
      <c r="A7" s="4"/>
      <c r="B7" s="4"/>
      <c r="C7" s="4"/>
      <c r="D7" s="4"/>
      <c r="E7" s="4"/>
      <c r="F7" s="4"/>
      <c r="G7" s="4"/>
      <c r="H7" s="4"/>
      <c r="I7" s="5"/>
      <c r="J7" s="5"/>
    </row>
    <row r="8" spans="1:10" ht="25.5" x14ac:dyDescent="0.25">
      <c r="A8" s="140" t="s">
        <v>10</v>
      </c>
      <c r="B8" s="141"/>
      <c r="C8" s="142"/>
      <c r="D8" s="37" t="s">
        <v>102</v>
      </c>
      <c r="E8" s="85" t="s">
        <v>103</v>
      </c>
      <c r="F8" s="38" t="s">
        <v>104</v>
      </c>
      <c r="G8" s="38" t="s">
        <v>96</v>
      </c>
      <c r="H8" s="38" t="s">
        <v>105</v>
      </c>
    </row>
    <row r="9" spans="1:10" s="42" customFormat="1" ht="11.25" x14ac:dyDescent="0.2">
      <c r="A9" s="143">
        <v>1</v>
      </c>
      <c r="B9" s="144"/>
      <c r="C9" s="145"/>
      <c r="D9" s="44">
        <v>2</v>
      </c>
      <c r="E9" s="44">
        <v>3</v>
      </c>
      <c r="F9" s="45">
        <v>4</v>
      </c>
      <c r="G9" s="45">
        <v>5</v>
      </c>
      <c r="H9" s="45">
        <v>6</v>
      </c>
    </row>
    <row r="10" spans="1:10" x14ac:dyDescent="0.25">
      <c r="A10" s="10">
        <v>8</v>
      </c>
      <c r="B10" s="10"/>
      <c r="C10" s="10" t="s">
        <v>13</v>
      </c>
      <c r="D10" s="10"/>
      <c r="E10" s="10"/>
      <c r="F10" s="9"/>
      <c r="G10" s="9"/>
      <c r="H10" s="9"/>
    </row>
    <row r="11" spans="1:10" x14ac:dyDescent="0.25">
      <c r="A11" s="10"/>
      <c r="B11" s="13">
        <v>84</v>
      </c>
      <c r="C11" s="13" t="s">
        <v>18</v>
      </c>
      <c r="D11" s="10"/>
      <c r="E11" s="10"/>
      <c r="F11" s="9"/>
      <c r="G11" s="9"/>
      <c r="H11" s="9"/>
    </row>
    <row r="12" spans="1:10" x14ac:dyDescent="0.25">
      <c r="A12" s="11" t="s">
        <v>21</v>
      </c>
      <c r="B12" s="11"/>
      <c r="C12" s="15"/>
      <c r="D12" s="13"/>
      <c r="E12" s="13"/>
      <c r="F12" s="9"/>
      <c r="G12" s="9"/>
      <c r="H12" s="9"/>
    </row>
    <row r="13" spans="1:10" s="54" customFormat="1" x14ac:dyDescent="0.25">
      <c r="A13" s="12">
        <v>5</v>
      </c>
      <c r="B13" s="12"/>
      <c r="C13" s="19" t="s">
        <v>14</v>
      </c>
      <c r="D13" s="53">
        <f>D14</f>
        <v>593591</v>
      </c>
      <c r="E13" s="53">
        <f t="shared" ref="E13:H13" si="0">E14</f>
        <v>593592</v>
      </c>
      <c r="F13" s="53">
        <f t="shared" si="0"/>
        <v>593592</v>
      </c>
      <c r="G13" s="53">
        <f t="shared" si="0"/>
        <v>805948</v>
      </c>
      <c r="H13" s="53">
        <f t="shared" si="0"/>
        <v>646172</v>
      </c>
    </row>
    <row r="14" spans="1:10" ht="25.5" x14ac:dyDescent="0.25">
      <c r="A14" s="13"/>
      <c r="B14" s="13">
        <v>54</v>
      </c>
      <c r="C14" s="20" t="s">
        <v>19</v>
      </c>
      <c r="D14" s="96">
        <v>593591</v>
      </c>
      <c r="E14" s="9">
        <v>593592</v>
      </c>
      <c r="F14" s="9">
        <v>593592</v>
      </c>
      <c r="G14" s="9">
        <v>805948</v>
      </c>
      <c r="H14" s="9">
        <v>646172</v>
      </c>
    </row>
    <row r="15" spans="1:10" x14ac:dyDescent="0.25">
      <c r="A15" s="14" t="s">
        <v>21</v>
      </c>
      <c r="B15" s="12"/>
      <c r="C15" s="19"/>
      <c r="D15" s="13"/>
      <c r="E15" s="13"/>
      <c r="F15" s="9"/>
      <c r="G15" s="9"/>
      <c r="H15" s="9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zoomScaleNormal="100" workbookViewId="0">
      <selection activeCell="F16" sqref="F16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4"/>
      <c r="B1" s="4"/>
      <c r="C1" s="4"/>
      <c r="D1" s="4"/>
      <c r="E1" s="4"/>
      <c r="F1" s="4"/>
      <c r="G1" s="4"/>
      <c r="H1" s="4"/>
    </row>
    <row r="2" spans="1:8" ht="15.75" customHeight="1" x14ac:dyDescent="0.25">
      <c r="A2" s="124" t="s">
        <v>46</v>
      </c>
      <c r="B2" s="124"/>
      <c r="C2" s="124"/>
      <c r="D2" s="124"/>
      <c r="E2" s="124"/>
      <c r="F2" s="124"/>
      <c r="G2" s="111"/>
      <c r="H2" s="111"/>
    </row>
    <row r="3" spans="1:8" ht="18" x14ac:dyDescent="0.25">
      <c r="A3" s="4"/>
      <c r="B3" s="4"/>
      <c r="C3" s="4"/>
      <c r="D3" s="4"/>
      <c r="E3" s="4"/>
      <c r="F3" s="4"/>
      <c r="G3" s="5"/>
      <c r="H3" s="5"/>
    </row>
    <row r="4" spans="1:8" ht="25.5" customHeight="1" x14ac:dyDescent="0.25">
      <c r="A4" s="39" t="s">
        <v>10</v>
      </c>
      <c r="B4" s="37" t="s">
        <v>102</v>
      </c>
      <c r="C4" s="85" t="s">
        <v>103</v>
      </c>
      <c r="D4" s="38" t="s">
        <v>104</v>
      </c>
      <c r="E4" s="38" t="s">
        <v>96</v>
      </c>
      <c r="F4" s="38" t="s">
        <v>105</v>
      </c>
    </row>
    <row r="5" spans="1:8" s="42" customFormat="1" ht="11.25" x14ac:dyDescent="0.2">
      <c r="A5" s="46">
        <v>1</v>
      </c>
      <c r="B5" s="44">
        <v>2</v>
      </c>
      <c r="C5" s="44">
        <v>3</v>
      </c>
      <c r="D5" s="45">
        <v>4</v>
      </c>
      <c r="E5" s="45">
        <v>5</v>
      </c>
      <c r="F5" s="45">
        <v>6</v>
      </c>
    </row>
    <row r="6" spans="1:8" x14ac:dyDescent="0.25">
      <c r="A6" s="10" t="s">
        <v>47</v>
      </c>
      <c r="B6" s="55"/>
      <c r="C6" s="55"/>
      <c r="D6" s="9"/>
      <c r="E6" s="9"/>
      <c r="F6" s="9"/>
      <c r="G6" s="56"/>
    </row>
    <row r="7" spans="1:8" x14ac:dyDescent="0.25">
      <c r="A7" s="10" t="s">
        <v>24</v>
      </c>
      <c r="B7" s="55"/>
      <c r="C7" s="55"/>
      <c r="D7" s="9"/>
      <c r="E7" s="9"/>
      <c r="F7" s="9"/>
      <c r="G7" s="56"/>
    </row>
    <row r="8" spans="1:8" x14ac:dyDescent="0.25">
      <c r="A8" s="29" t="s">
        <v>25</v>
      </c>
      <c r="B8" s="57"/>
      <c r="C8" s="57"/>
      <c r="D8" s="9"/>
      <c r="E8" s="9"/>
      <c r="F8" s="9"/>
      <c r="G8" s="56"/>
    </row>
    <row r="9" spans="1:8" x14ac:dyDescent="0.25">
      <c r="A9" s="30"/>
      <c r="B9" s="58"/>
      <c r="C9" s="58"/>
      <c r="D9" s="58"/>
      <c r="E9" s="58"/>
      <c r="F9" s="58"/>
      <c r="G9" s="56"/>
    </row>
    <row r="10" spans="1:8" s="54" customFormat="1" x14ac:dyDescent="0.25">
      <c r="A10" s="10" t="s">
        <v>48</v>
      </c>
      <c r="B10" s="59">
        <f>B11</f>
        <v>593591</v>
      </c>
      <c r="C10" s="59">
        <f t="shared" ref="C10:F10" si="0">C11</f>
        <v>593592</v>
      </c>
      <c r="D10" s="59">
        <f t="shared" si="0"/>
        <v>593592</v>
      </c>
      <c r="E10" s="59">
        <f t="shared" si="0"/>
        <v>805948</v>
      </c>
      <c r="F10" s="59">
        <f t="shared" si="0"/>
        <v>646172</v>
      </c>
      <c r="G10" s="60"/>
    </row>
    <row r="11" spans="1:8" s="54" customFormat="1" x14ac:dyDescent="0.25">
      <c r="A11" s="10" t="s">
        <v>24</v>
      </c>
      <c r="B11" s="59">
        <f>B12</f>
        <v>593591</v>
      </c>
      <c r="C11" s="59">
        <f t="shared" ref="C11:D11" si="1">C12</f>
        <v>593592</v>
      </c>
      <c r="D11" s="59">
        <f t="shared" si="1"/>
        <v>593592</v>
      </c>
      <c r="E11" s="59">
        <f t="shared" ref="E11:F11" si="2">E12</f>
        <v>805948</v>
      </c>
      <c r="F11" s="59">
        <f t="shared" si="2"/>
        <v>646172</v>
      </c>
      <c r="G11" s="60"/>
    </row>
    <row r="12" spans="1:8" x14ac:dyDescent="0.25">
      <c r="A12" s="29" t="s">
        <v>25</v>
      </c>
      <c r="B12" s="58">
        <v>593591</v>
      </c>
      <c r="C12" s="58">
        <v>593592</v>
      </c>
      <c r="D12" s="58">
        <v>593592</v>
      </c>
      <c r="E12" s="58">
        <v>805948</v>
      </c>
      <c r="F12" s="58">
        <v>646172</v>
      </c>
      <c r="G12" s="56"/>
    </row>
    <row r="13" spans="1:8" x14ac:dyDescent="0.25">
      <c r="B13" s="56"/>
      <c r="C13" s="56"/>
      <c r="D13" s="56"/>
      <c r="E13" s="56"/>
      <c r="F13" s="56"/>
      <c r="G13" s="56"/>
    </row>
    <row r="14" spans="1:8" x14ac:dyDescent="0.25">
      <c r="B14" s="56"/>
      <c r="C14" s="56"/>
      <c r="D14" s="56"/>
      <c r="E14" s="56"/>
      <c r="F14" s="56"/>
      <c r="G14" s="56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9"/>
  <sheetViews>
    <sheetView zoomScaleNormal="100" workbookViewId="0">
      <selection activeCell="J8" sqref="J8"/>
    </sheetView>
  </sheetViews>
  <sheetFormatPr defaultRowHeight="15" x14ac:dyDescent="0.25"/>
  <cols>
    <col min="1" max="2" width="36.7109375" customWidth="1"/>
    <col min="3" max="3" width="13.28515625" customWidth="1"/>
    <col min="4" max="4" width="19.42578125" style="89" customWidth="1"/>
    <col min="5" max="5" width="17.5703125" customWidth="1"/>
    <col min="6" max="6" width="17.28515625" customWidth="1"/>
    <col min="7" max="7" width="17.5703125" customWidth="1"/>
    <col min="8" max="8" width="19.42578125" customWidth="1"/>
    <col min="9" max="9" width="19" customWidth="1"/>
    <col min="10" max="10" width="19.7109375" customWidth="1"/>
    <col min="11" max="11" width="18.140625" customWidth="1"/>
  </cols>
  <sheetData>
    <row r="1" spans="1:11" ht="18" x14ac:dyDescent="0.25">
      <c r="A1" s="4"/>
      <c r="B1" s="4"/>
      <c r="C1" s="4"/>
      <c r="D1" s="86"/>
      <c r="E1" s="4"/>
      <c r="F1" s="4"/>
      <c r="G1" s="4"/>
      <c r="H1" s="4"/>
      <c r="I1" s="5"/>
      <c r="J1" s="5"/>
    </row>
    <row r="2" spans="1:11" ht="18" customHeight="1" x14ac:dyDescent="0.25">
      <c r="A2" s="124" t="s">
        <v>15</v>
      </c>
      <c r="B2" s="124"/>
      <c r="C2" s="124"/>
      <c r="D2" s="124"/>
      <c r="E2" s="124"/>
      <c r="F2" s="124"/>
      <c r="G2" s="124"/>
      <c r="H2" s="91"/>
      <c r="I2" s="32"/>
      <c r="J2" s="32"/>
    </row>
    <row r="3" spans="1:11" ht="18" x14ac:dyDescent="0.25">
      <c r="A3" s="4"/>
      <c r="B3" s="4"/>
      <c r="C3" s="4"/>
      <c r="D3" s="86"/>
      <c r="E3" s="4"/>
      <c r="F3" s="4"/>
      <c r="G3" s="4"/>
      <c r="H3" s="4"/>
      <c r="I3" s="5"/>
      <c r="J3" s="5"/>
    </row>
    <row r="4" spans="1:11" ht="25.5" x14ac:dyDescent="0.25">
      <c r="A4" s="141" t="s">
        <v>10</v>
      </c>
      <c r="B4" s="142"/>
      <c r="C4" s="37" t="s">
        <v>102</v>
      </c>
      <c r="D4" s="85" t="s">
        <v>103</v>
      </c>
      <c r="E4" s="38" t="s">
        <v>104</v>
      </c>
      <c r="F4" s="38" t="s">
        <v>96</v>
      </c>
      <c r="G4" s="38" t="s">
        <v>105</v>
      </c>
      <c r="H4" s="92"/>
    </row>
    <row r="5" spans="1:11" s="54" customFormat="1" ht="25.5" customHeight="1" x14ac:dyDescent="0.25">
      <c r="A5" s="51" t="s">
        <v>92</v>
      </c>
      <c r="B5" s="52" t="s">
        <v>50</v>
      </c>
      <c r="C5" s="53">
        <f>C6</f>
        <v>56575929.340000004</v>
      </c>
      <c r="D5" s="53">
        <f>D6</f>
        <v>61799349</v>
      </c>
      <c r="E5" s="53">
        <f>E6</f>
        <v>66613507</v>
      </c>
      <c r="F5" s="53">
        <f>F6</f>
        <v>68785917.650000006</v>
      </c>
      <c r="G5" s="53">
        <f t="shared" ref="G5" si="0">G6</f>
        <v>72178883</v>
      </c>
      <c r="H5" s="93"/>
      <c r="I5" s="60"/>
      <c r="J5" s="60"/>
      <c r="K5" s="60"/>
    </row>
    <row r="6" spans="1:11" s="54" customFormat="1" ht="25.5" customHeight="1" x14ac:dyDescent="0.25">
      <c r="A6" s="51" t="s">
        <v>49</v>
      </c>
      <c r="B6" s="52" t="s">
        <v>51</v>
      </c>
      <c r="C6" s="53">
        <f>C7+C18</f>
        <v>56575929.340000004</v>
      </c>
      <c r="D6" s="53">
        <f>D7+D18</f>
        <v>61799349</v>
      </c>
      <c r="E6" s="53">
        <f>E7+E18</f>
        <v>66613507</v>
      </c>
      <c r="F6" s="53">
        <f>F7+F18</f>
        <v>68785917.650000006</v>
      </c>
      <c r="G6" s="53">
        <f t="shared" ref="G6" si="1">G7+G18</f>
        <v>72178883</v>
      </c>
      <c r="H6" s="93"/>
    </row>
    <row r="7" spans="1:11" s="54" customFormat="1" ht="25.5" customHeight="1" x14ac:dyDescent="0.25">
      <c r="A7" s="51" t="s">
        <v>52</v>
      </c>
      <c r="B7" s="52" t="s">
        <v>53</v>
      </c>
      <c r="C7" s="53">
        <f t="shared" ref="C7:E8" si="2">C8</f>
        <v>1865382.1800000002</v>
      </c>
      <c r="D7" s="53">
        <f t="shared" si="2"/>
        <v>1812538</v>
      </c>
      <c r="E7" s="53">
        <f t="shared" si="2"/>
        <v>3631951</v>
      </c>
      <c r="F7" s="53">
        <f t="shared" ref="F7:G7" si="3">F8</f>
        <v>2440984</v>
      </c>
      <c r="G7" s="53">
        <f t="shared" si="3"/>
        <v>2820297</v>
      </c>
      <c r="H7" s="93"/>
      <c r="I7" s="60"/>
    </row>
    <row r="8" spans="1:11" s="54" customFormat="1" ht="37.5" customHeight="1" x14ac:dyDescent="0.25">
      <c r="A8" s="51" t="s">
        <v>74</v>
      </c>
      <c r="B8" s="52" t="s">
        <v>54</v>
      </c>
      <c r="C8" s="53">
        <f t="shared" si="2"/>
        <v>1865382.1800000002</v>
      </c>
      <c r="D8" s="53">
        <f t="shared" si="2"/>
        <v>1812538</v>
      </c>
      <c r="E8" s="53">
        <f t="shared" si="2"/>
        <v>3631951</v>
      </c>
      <c r="F8" s="53">
        <f t="shared" ref="F8:G8" si="4">F9</f>
        <v>2440984</v>
      </c>
      <c r="G8" s="53">
        <f t="shared" si="4"/>
        <v>2820297</v>
      </c>
      <c r="H8" s="93"/>
    </row>
    <row r="9" spans="1:11" ht="25.5" customHeight="1" x14ac:dyDescent="0.25">
      <c r="A9" s="48" t="s">
        <v>55</v>
      </c>
      <c r="B9" s="47" t="s">
        <v>56</v>
      </c>
      <c r="C9" s="9">
        <f>C10+C13+C16</f>
        <v>1865382.1800000002</v>
      </c>
      <c r="D9" s="9">
        <f>D10+D13+D16</f>
        <v>1812538</v>
      </c>
      <c r="E9" s="9">
        <f>E10+E13+E16</f>
        <v>3631951</v>
      </c>
      <c r="F9" s="9">
        <f t="shared" ref="F9:G9" si="5">F10+F13+F16</f>
        <v>2440984</v>
      </c>
      <c r="G9" s="9">
        <f t="shared" si="5"/>
        <v>2820297</v>
      </c>
      <c r="H9" s="71"/>
    </row>
    <row r="10" spans="1:11" ht="25.5" customHeight="1" x14ac:dyDescent="0.25">
      <c r="A10" s="48" t="s">
        <v>57</v>
      </c>
      <c r="B10" s="47" t="s">
        <v>7</v>
      </c>
      <c r="C10" s="9">
        <f>SUM(C11:C12)</f>
        <v>470393.96</v>
      </c>
      <c r="D10" s="9">
        <f>SUM(D11:D12)</f>
        <v>463269</v>
      </c>
      <c r="E10" s="77">
        <f>SUM(E11:E12)</f>
        <v>105581</v>
      </c>
      <c r="F10" s="77">
        <f t="shared" ref="F10:G10" si="6">SUM(F11:F12)</f>
        <v>437914</v>
      </c>
      <c r="G10" s="77">
        <f t="shared" si="6"/>
        <v>421139</v>
      </c>
      <c r="H10" s="71"/>
    </row>
    <row r="11" spans="1:11" ht="25.5" customHeight="1" x14ac:dyDescent="0.25">
      <c r="A11" s="48">
        <v>32</v>
      </c>
      <c r="B11" s="47" t="s">
        <v>17</v>
      </c>
      <c r="C11" s="87">
        <v>331199.96000000002</v>
      </c>
      <c r="D11" s="87">
        <v>341000</v>
      </c>
      <c r="E11" s="77">
        <v>0</v>
      </c>
      <c r="F11" s="77">
        <v>350000</v>
      </c>
      <c r="G11" s="101">
        <v>350000</v>
      </c>
      <c r="H11" s="94"/>
    </row>
    <row r="12" spans="1:11" ht="25.5" customHeight="1" x14ac:dyDescent="0.25">
      <c r="A12" s="48">
        <v>34</v>
      </c>
      <c r="B12" s="47" t="s">
        <v>58</v>
      </c>
      <c r="C12" s="87">
        <v>139194</v>
      </c>
      <c r="D12" s="87">
        <v>122269</v>
      </c>
      <c r="E12" s="77">
        <v>105581</v>
      </c>
      <c r="F12" s="77">
        <v>87914</v>
      </c>
      <c r="G12" s="101">
        <v>71139</v>
      </c>
      <c r="H12" s="94"/>
    </row>
    <row r="13" spans="1:11" ht="25.5" customHeight="1" x14ac:dyDescent="0.25">
      <c r="A13" s="48">
        <v>4</v>
      </c>
      <c r="B13" s="47" t="s">
        <v>59</v>
      </c>
      <c r="C13" s="9">
        <f>SUM(C14:C15)</f>
        <v>801397.06</v>
      </c>
      <c r="D13" s="9">
        <f>SUM(D14:D15)</f>
        <v>755677</v>
      </c>
      <c r="E13" s="77">
        <f>SUM(E14:E15)</f>
        <v>2932778</v>
      </c>
      <c r="F13" s="77">
        <f t="shared" ref="F13:G13" si="7">SUM(F14:F15)</f>
        <v>1197122</v>
      </c>
      <c r="G13" s="77">
        <f t="shared" si="7"/>
        <v>1752986</v>
      </c>
      <c r="H13" s="71"/>
    </row>
    <row r="14" spans="1:11" ht="25.5" customHeight="1" x14ac:dyDescent="0.25">
      <c r="A14" s="48">
        <v>42</v>
      </c>
      <c r="B14" s="47" t="s">
        <v>60</v>
      </c>
      <c r="C14" s="87">
        <v>752772.06</v>
      </c>
      <c r="D14" s="87">
        <f>38665+132448+47979+150588+9423+28937</f>
        <v>408040</v>
      </c>
      <c r="E14" s="77">
        <f>1550090+1200000</f>
        <v>2750090</v>
      </c>
      <c r="F14" s="77">
        <v>814434</v>
      </c>
      <c r="G14" s="101">
        <v>770298</v>
      </c>
      <c r="H14" s="94"/>
    </row>
    <row r="15" spans="1:11" ht="25.5" customHeight="1" x14ac:dyDescent="0.25">
      <c r="A15" s="48">
        <v>45</v>
      </c>
      <c r="B15" s="47" t="s">
        <v>61</v>
      </c>
      <c r="C15" s="87">
        <v>48625</v>
      </c>
      <c r="D15" s="87">
        <v>347637</v>
      </c>
      <c r="E15" s="77">
        <v>182688</v>
      </c>
      <c r="F15" s="77">
        <v>382688</v>
      </c>
      <c r="G15" s="101">
        <v>982688</v>
      </c>
      <c r="H15" s="94"/>
    </row>
    <row r="16" spans="1:11" ht="25.5" customHeight="1" x14ac:dyDescent="0.25">
      <c r="A16" s="48">
        <v>5</v>
      </c>
      <c r="B16" s="47" t="s">
        <v>14</v>
      </c>
      <c r="C16" s="9">
        <f>C17</f>
        <v>593591.16</v>
      </c>
      <c r="D16" s="9">
        <f>D17</f>
        <v>593592</v>
      </c>
      <c r="E16" s="77">
        <f>E17</f>
        <v>593592</v>
      </c>
      <c r="F16" s="77">
        <f t="shared" ref="F16:G16" si="8">F17</f>
        <v>805948</v>
      </c>
      <c r="G16" s="77">
        <f t="shared" si="8"/>
        <v>646172</v>
      </c>
      <c r="H16" s="71"/>
    </row>
    <row r="17" spans="1:10" ht="25.5" customHeight="1" x14ac:dyDescent="0.25">
      <c r="A17" s="48">
        <v>54</v>
      </c>
      <c r="B17" s="47" t="s">
        <v>19</v>
      </c>
      <c r="C17" s="87">
        <v>593591.16</v>
      </c>
      <c r="D17" s="107">
        <v>593592</v>
      </c>
      <c r="E17" s="77">
        <v>593592</v>
      </c>
      <c r="F17" s="9">
        <v>805948</v>
      </c>
      <c r="G17" s="9">
        <v>646172</v>
      </c>
      <c r="H17" s="71"/>
    </row>
    <row r="18" spans="1:10" s="54" customFormat="1" ht="25.5" customHeight="1" x14ac:dyDescent="0.25">
      <c r="A18" s="51" t="s">
        <v>62</v>
      </c>
      <c r="B18" s="52" t="s">
        <v>63</v>
      </c>
      <c r="C18" s="53">
        <f>C19+C54</f>
        <v>54710547.160000004</v>
      </c>
      <c r="D18" s="53">
        <f>D19+D54</f>
        <v>59986811</v>
      </c>
      <c r="E18" s="53">
        <f>E19+E54</f>
        <v>62981556</v>
      </c>
      <c r="F18" s="53">
        <f>F19+F54</f>
        <v>66344933.649999999</v>
      </c>
      <c r="G18" s="53">
        <f>G19+G54</f>
        <v>69358586</v>
      </c>
      <c r="H18" s="93"/>
    </row>
    <row r="19" spans="1:10" s="54" customFormat="1" ht="25.5" customHeight="1" x14ac:dyDescent="0.25">
      <c r="A19" s="51" t="s">
        <v>76</v>
      </c>
      <c r="B19" s="52" t="s">
        <v>97</v>
      </c>
      <c r="C19" s="53">
        <f>C20+C29+C35+C42+C48+C51</f>
        <v>54121092.480000004</v>
      </c>
      <c r="D19" s="53">
        <f t="shared" ref="D19:G19" si="9">D20+D29+D35+D42+D48+D51</f>
        <v>57545125</v>
      </c>
      <c r="E19" s="53">
        <f t="shared" si="9"/>
        <v>62508269</v>
      </c>
      <c r="F19" s="53">
        <f>F20+F29+F35+F42+F48+F51</f>
        <v>65871646.649999999</v>
      </c>
      <c r="G19" s="53">
        <f t="shared" si="9"/>
        <v>68885299</v>
      </c>
      <c r="H19" s="93"/>
    </row>
    <row r="20" spans="1:10" ht="25.5" customHeight="1" x14ac:dyDescent="0.25">
      <c r="A20" s="48" t="s">
        <v>64</v>
      </c>
      <c r="B20" s="47" t="s">
        <v>75</v>
      </c>
      <c r="C20" s="9">
        <f>C21+C26</f>
        <v>802115.84000000008</v>
      </c>
      <c r="D20" s="9">
        <f>D21+D26</f>
        <v>1852862</v>
      </c>
      <c r="E20" s="9">
        <f t="shared" ref="E20:G20" si="10">E21+E26</f>
        <v>865000</v>
      </c>
      <c r="F20" s="9">
        <f t="shared" si="10"/>
        <v>865000</v>
      </c>
      <c r="G20" s="9">
        <f t="shared" si="10"/>
        <v>865000</v>
      </c>
      <c r="H20" s="71"/>
    </row>
    <row r="21" spans="1:10" ht="25.5" customHeight="1" x14ac:dyDescent="0.25">
      <c r="A21" s="48" t="s">
        <v>57</v>
      </c>
      <c r="B21" s="47" t="s">
        <v>7</v>
      </c>
      <c r="C21" s="9">
        <f t="shared" ref="C21:D21" si="11">SUM(C22:C25)</f>
        <v>557199.16</v>
      </c>
      <c r="D21" s="9">
        <f t="shared" si="11"/>
        <v>1070862</v>
      </c>
      <c r="E21" s="9">
        <f>SUM(E22:E25)</f>
        <v>810000</v>
      </c>
      <c r="F21" s="9">
        <f t="shared" ref="F21:G21" si="12">SUM(F22:F25)</f>
        <v>810000</v>
      </c>
      <c r="G21" s="9">
        <f t="shared" si="12"/>
        <v>810000</v>
      </c>
      <c r="H21" s="71"/>
    </row>
    <row r="22" spans="1:10" x14ac:dyDescent="0.25">
      <c r="A22" s="43">
        <v>31</v>
      </c>
      <c r="B22" s="47" t="s">
        <v>8</v>
      </c>
      <c r="C22" s="49">
        <v>541281.41</v>
      </c>
      <c r="D22" s="65">
        <f>1037842+22120</f>
        <v>1059962</v>
      </c>
      <c r="E22" s="49">
        <v>799700</v>
      </c>
      <c r="F22" s="49">
        <v>799700</v>
      </c>
      <c r="G22" s="49">
        <v>799700</v>
      </c>
      <c r="H22" s="50"/>
      <c r="J22" s="50"/>
    </row>
    <row r="23" spans="1:10" x14ac:dyDescent="0.25">
      <c r="A23" s="48">
        <v>32</v>
      </c>
      <c r="B23" s="47" t="s">
        <v>17</v>
      </c>
      <c r="C23" s="49">
        <v>2526.98</v>
      </c>
      <c r="D23" s="65">
        <v>700</v>
      </c>
      <c r="E23" s="49">
        <v>100</v>
      </c>
      <c r="F23" s="49">
        <v>100</v>
      </c>
      <c r="G23" s="49">
        <v>100</v>
      </c>
      <c r="H23" s="50"/>
      <c r="J23" s="50"/>
    </row>
    <row r="24" spans="1:10" x14ac:dyDescent="0.25">
      <c r="A24" s="48">
        <v>34</v>
      </c>
      <c r="B24" s="47" t="s">
        <v>58</v>
      </c>
      <c r="C24" s="49">
        <v>2.96</v>
      </c>
      <c r="D24" s="65"/>
      <c r="E24" s="49"/>
      <c r="F24" s="49"/>
      <c r="G24" s="49"/>
      <c r="H24" s="50"/>
    </row>
    <row r="25" spans="1:10" x14ac:dyDescent="0.25">
      <c r="A25" s="43">
        <v>38</v>
      </c>
      <c r="B25" s="47" t="s">
        <v>65</v>
      </c>
      <c r="C25" s="49">
        <v>13387.81</v>
      </c>
      <c r="D25" s="65">
        <v>10200</v>
      </c>
      <c r="E25" s="49">
        <v>10200</v>
      </c>
      <c r="F25" s="49">
        <v>10200</v>
      </c>
      <c r="G25" s="49">
        <v>10200</v>
      </c>
      <c r="H25" s="50"/>
    </row>
    <row r="26" spans="1:10" x14ac:dyDescent="0.25">
      <c r="A26" s="43">
        <v>4</v>
      </c>
      <c r="B26" s="47" t="s">
        <v>59</v>
      </c>
      <c r="C26" s="49">
        <f>SUM(C27:C28)</f>
        <v>244916.68</v>
      </c>
      <c r="D26" s="49">
        <f t="shared" ref="D26:G26" si="13">SUM(D27:D28)</f>
        <v>782000</v>
      </c>
      <c r="E26" s="49">
        <f t="shared" si="13"/>
        <v>55000</v>
      </c>
      <c r="F26" s="49">
        <f t="shared" si="13"/>
        <v>55000</v>
      </c>
      <c r="G26" s="49">
        <f t="shared" si="13"/>
        <v>55000</v>
      </c>
      <c r="H26" s="50"/>
    </row>
    <row r="27" spans="1:10" ht="25.5" x14ac:dyDescent="0.25">
      <c r="A27" s="43">
        <v>42</v>
      </c>
      <c r="B27" s="47" t="s">
        <v>60</v>
      </c>
      <c r="C27" s="49">
        <v>158799.93</v>
      </c>
      <c r="D27" s="65">
        <f>10000+2000+20000+50000+140000</f>
        <v>222000</v>
      </c>
      <c r="E27" s="49">
        <v>40000</v>
      </c>
      <c r="F27" s="49">
        <v>40000</v>
      </c>
      <c r="G27" s="49">
        <v>40000</v>
      </c>
      <c r="H27" s="50"/>
    </row>
    <row r="28" spans="1:10" ht="25.5" x14ac:dyDescent="0.25">
      <c r="A28" s="43">
        <v>45</v>
      </c>
      <c r="B28" s="47" t="s">
        <v>61</v>
      </c>
      <c r="C28" s="49">
        <v>86116.75</v>
      </c>
      <c r="D28" s="65">
        <v>560000</v>
      </c>
      <c r="E28" s="49">
        <v>15000</v>
      </c>
      <c r="F28" s="49">
        <v>15000</v>
      </c>
      <c r="G28" s="49">
        <v>15000</v>
      </c>
      <c r="H28" s="50"/>
    </row>
    <row r="29" spans="1:10" ht="38.25" x14ac:dyDescent="0.25">
      <c r="A29" s="48" t="s">
        <v>66</v>
      </c>
      <c r="B29" s="47" t="s">
        <v>67</v>
      </c>
      <c r="C29" s="49">
        <f>C30</f>
        <v>48485859.899999999</v>
      </c>
      <c r="D29" s="49">
        <f t="shared" ref="D29:G29" si="14">D30</f>
        <v>55212563</v>
      </c>
      <c r="E29" s="49">
        <f t="shared" si="14"/>
        <v>61623019</v>
      </c>
      <c r="F29" s="49">
        <f t="shared" si="14"/>
        <v>64768714</v>
      </c>
      <c r="G29" s="49">
        <f t="shared" si="14"/>
        <v>68000049</v>
      </c>
      <c r="H29" s="50"/>
      <c r="I29" s="50"/>
      <c r="J29" s="50"/>
    </row>
    <row r="30" spans="1:10" ht="38.25" x14ac:dyDescent="0.25">
      <c r="A30" s="48" t="s">
        <v>57</v>
      </c>
      <c r="B30" s="47" t="s">
        <v>7</v>
      </c>
      <c r="C30" s="49">
        <f>SUM(C31:C34)</f>
        <v>48485859.899999999</v>
      </c>
      <c r="D30" s="49">
        <f t="shared" ref="D30:G30" si="15">SUM(D31:D34)</f>
        <v>55212563</v>
      </c>
      <c r="E30" s="49">
        <f t="shared" si="15"/>
        <v>61623019</v>
      </c>
      <c r="F30" s="49">
        <f t="shared" si="15"/>
        <v>64768714</v>
      </c>
      <c r="G30" s="49">
        <f t="shared" si="15"/>
        <v>68000049</v>
      </c>
      <c r="H30" s="50"/>
    </row>
    <row r="31" spans="1:10" x14ac:dyDescent="0.25">
      <c r="A31" s="43">
        <v>31</v>
      </c>
      <c r="B31" s="47" t="s">
        <v>8</v>
      </c>
      <c r="C31" s="49">
        <v>39792970.920000002</v>
      </c>
      <c r="D31" s="65">
        <f>35382000+2715000+1180000+5242300</f>
        <v>44519300</v>
      </c>
      <c r="E31" s="49">
        <v>52050314</v>
      </c>
      <c r="F31" s="49">
        <v>54718176</v>
      </c>
      <c r="G31" s="49">
        <v>57458669</v>
      </c>
      <c r="H31" s="50"/>
    </row>
    <row r="32" spans="1:10" x14ac:dyDescent="0.25">
      <c r="A32" s="48">
        <v>32</v>
      </c>
      <c r="B32" s="47" t="s">
        <v>17</v>
      </c>
      <c r="C32" s="49">
        <v>8497160.8300000001</v>
      </c>
      <c r="D32" s="65">
        <f>55212563-D31-D33-D34</f>
        <v>10566964</v>
      </c>
      <c r="E32" s="49">
        <v>9424596</v>
      </c>
      <c r="F32" s="49">
        <v>9893991</v>
      </c>
      <c r="G32" s="49">
        <v>10376193</v>
      </c>
      <c r="H32" s="50"/>
    </row>
    <row r="33" spans="1:8" x14ac:dyDescent="0.25">
      <c r="A33" s="48">
        <v>34</v>
      </c>
      <c r="B33" s="47" t="s">
        <v>58</v>
      </c>
      <c r="C33" s="49">
        <v>195728.15</v>
      </c>
      <c r="D33" s="65">
        <f>5100+100000+19999</f>
        <v>125099</v>
      </c>
      <c r="E33" s="49">
        <v>145109</v>
      </c>
      <c r="F33" s="49">
        <v>152547</v>
      </c>
      <c r="G33" s="49">
        <v>160187</v>
      </c>
      <c r="H33" s="50"/>
    </row>
    <row r="34" spans="1:8" x14ac:dyDescent="0.25">
      <c r="A34" s="48">
        <v>37</v>
      </c>
      <c r="B34" s="47" t="s">
        <v>106</v>
      </c>
      <c r="C34" s="49"/>
      <c r="D34" s="65">
        <v>1200</v>
      </c>
      <c r="E34" s="49">
        <v>3000</v>
      </c>
      <c r="F34" s="49">
        <v>4000</v>
      </c>
      <c r="G34" s="49">
        <v>5000</v>
      </c>
      <c r="H34" s="50"/>
    </row>
    <row r="35" spans="1:8" ht="38.25" x14ac:dyDescent="0.25">
      <c r="A35" s="48" t="s">
        <v>68</v>
      </c>
      <c r="B35" s="47" t="s">
        <v>69</v>
      </c>
      <c r="C35" s="49">
        <f>C36+C39</f>
        <v>4740976.3100000005</v>
      </c>
      <c r="D35" s="49">
        <f t="shared" ref="D35:G35" si="16">D36+D39</f>
        <v>385200</v>
      </c>
      <c r="E35" s="49">
        <f t="shared" si="16"/>
        <v>0</v>
      </c>
      <c r="F35" s="49">
        <f t="shared" si="16"/>
        <v>63325.8</v>
      </c>
      <c r="G35" s="49">
        <f t="shared" si="16"/>
        <v>0</v>
      </c>
      <c r="H35" s="50"/>
    </row>
    <row r="36" spans="1:8" ht="38.25" x14ac:dyDescent="0.25">
      <c r="A36" s="48" t="s">
        <v>57</v>
      </c>
      <c r="B36" s="47" t="s">
        <v>7</v>
      </c>
      <c r="C36" s="49">
        <f>C37+C38</f>
        <v>4238623.33</v>
      </c>
      <c r="D36" s="49">
        <f>D37+D38</f>
        <v>385200</v>
      </c>
      <c r="E36" s="49">
        <f t="shared" ref="E36:G36" si="17">E37+E38</f>
        <v>0</v>
      </c>
      <c r="F36" s="49">
        <f t="shared" si="17"/>
        <v>0</v>
      </c>
      <c r="G36" s="49">
        <f t="shared" si="17"/>
        <v>0</v>
      </c>
      <c r="H36" s="50"/>
    </row>
    <row r="37" spans="1:8" x14ac:dyDescent="0.25">
      <c r="A37" s="43">
        <v>31</v>
      </c>
      <c r="B37" s="47" t="s">
        <v>8</v>
      </c>
      <c r="C37" s="49">
        <v>319912.73</v>
      </c>
      <c r="D37" s="65">
        <f>332000+13000+20000</f>
        <v>365000</v>
      </c>
      <c r="E37" s="49"/>
      <c r="F37" s="49"/>
      <c r="G37" s="49"/>
      <c r="H37" s="50"/>
    </row>
    <row r="38" spans="1:8" x14ac:dyDescent="0.25">
      <c r="A38" s="43">
        <v>32</v>
      </c>
      <c r="B38" s="47" t="s">
        <v>17</v>
      </c>
      <c r="C38" s="49">
        <v>3918710.6</v>
      </c>
      <c r="D38" s="65">
        <f>1000+18200+1000</f>
        <v>20200</v>
      </c>
      <c r="E38" s="49"/>
      <c r="F38" s="49"/>
      <c r="G38" s="49"/>
      <c r="H38" s="50"/>
    </row>
    <row r="39" spans="1:8" x14ac:dyDescent="0.25">
      <c r="A39" s="43">
        <v>4</v>
      </c>
      <c r="B39" s="47" t="s">
        <v>9</v>
      </c>
      <c r="C39" s="65">
        <f>SUM(C40)+C41</f>
        <v>502352.98</v>
      </c>
      <c r="D39" s="65">
        <f t="shared" ref="D39:G39" si="18">SUM(D40)+D41</f>
        <v>0</v>
      </c>
      <c r="E39" s="65">
        <f t="shared" si="18"/>
        <v>0</v>
      </c>
      <c r="F39" s="65">
        <f t="shared" si="18"/>
        <v>63325.8</v>
      </c>
      <c r="G39" s="65">
        <f t="shared" si="18"/>
        <v>0</v>
      </c>
      <c r="H39" s="88"/>
    </row>
    <row r="40" spans="1:8" ht="25.5" x14ac:dyDescent="0.25">
      <c r="A40" s="43">
        <v>42</v>
      </c>
      <c r="B40" s="47" t="s">
        <v>60</v>
      </c>
      <c r="C40" s="49">
        <v>502352.98</v>
      </c>
      <c r="D40" s="65"/>
      <c r="E40" s="49"/>
      <c r="F40" s="49"/>
      <c r="G40" s="49"/>
      <c r="H40" s="50"/>
    </row>
    <row r="41" spans="1:8" ht="25.5" x14ac:dyDescent="0.25">
      <c r="A41" s="43">
        <v>45</v>
      </c>
      <c r="B41" s="47" t="s">
        <v>114</v>
      </c>
      <c r="C41" s="49"/>
      <c r="D41" s="65"/>
      <c r="E41" s="49"/>
      <c r="F41" s="49">
        <v>63325.8</v>
      </c>
      <c r="G41" s="49"/>
      <c r="H41" s="50"/>
    </row>
    <row r="42" spans="1:8" ht="38.25" x14ac:dyDescent="0.25">
      <c r="A42" s="48" t="s">
        <v>70</v>
      </c>
      <c r="B42" s="47" t="s">
        <v>71</v>
      </c>
      <c r="C42" s="49">
        <f>C43+C45</f>
        <v>92140.430000000008</v>
      </c>
      <c r="D42" s="49">
        <f t="shared" ref="D42" si="19">D43+D45</f>
        <v>79500</v>
      </c>
      <c r="E42" s="49">
        <f t="shared" ref="E42" si="20">E43+E45</f>
        <v>20000</v>
      </c>
      <c r="F42" s="49">
        <f t="shared" ref="F42" si="21">F43+F45</f>
        <v>20000</v>
      </c>
      <c r="G42" s="49">
        <f t="shared" ref="G42" si="22">G43+G45</f>
        <v>20000</v>
      </c>
      <c r="H42" s="50"/>
    </row>
    <row r="43" spans="1:8" ht="38.25" x14ac:dyDescent="0.25">
      <c r="A43" s="48" t="s">
        <v>57</v>
      </c>
      <c r="B43" s="47" t="s">
        <v>7</v>
      </c>
      <c r="C43" s="49">
        <f t="shared" ref="C43:D43" si="23">C44</f>
        <v>10258.36</v>
      </c>
      <c r="D43" s="49">
        <f t="shared" si="23"/>
        <v>36500</v>
      </c>
      <c r="E43" s="49">
        <f>E44</f>
        <v>20000</v>
      </c>
      <c r="F43" s="49">
        <f t="shared" ref="F43:G43" si="24">F44</f>
        <v>20000</v>
      </c>
      <c r="G43" s="49">
        <f t="shared" si="24"/>
        <v>20000</v>
      </c>
      <c r="H43" s="50"/>
    </row>
    <row r="44" spans="1:8" x14ac:dyDescent="0.25">
      <c r="A44" s="48">
        <v>32</v>
      </c>
      <c r="B44" s="47" t="s">
        <v>17</v>
      </c>
      <c r="C44" s="49">
        <v>10258.36</v>
      </c>
      <c r="D44" s="65">
        <v>36500</v>
      </c>
      <c r="E44" s="49">
        <v>20000</v>
      </c>
      <c r="F44" s="49">
        <v>20000</v>
      </c>
      <c r="G44" s="49">
        <v>20000</v>
      </c>
      <c r="H44" s="50"/>
    </row>
    <row r="45" spans="1:8" x14ac:dyDescent="0.25">
      <c r="A45" s="48">
        <v>4</v>
      </c>
      <c r="B45" s="47" t="s">
        <v>59</v>
      </c>
      <c r="C45" s="49">
        <f>SUM(C46:C47)</f>
        <v>81882.070000000007</v>
      </c>
      <c r="D45" s="49">
        <f t="shared" ref="D45:G45" si="25">SUM(D46:D47)</f>
        <v>43000</v>
      </c>
      <c r="E45" s="49">
        <f t="shared" si="25"/>
        <v>0</v>
      </c>
      <c r="F45" s="49">
        <f t="shared" si="25"/>
        <v>0</v>
      </c>
      <c r="G45" s="49">
        <f t="shared" si="25"/>
        <v>0</v>
      </c>
      <c r="H45" s="50"/>
    </row>
    <row r="46" spans="1:8" ht="25.5" x14ac:dyDescent="0.25">
      <c r="A46" s="48">
        <v>42</v>
      </c>
      <c r="B46" s="47" t="s">
        <v>60</v>
      </c>
      <c r="C46" s="49">
        <v>48132.07</v>
      </c>
      <c r="D46" s="65">
        <v>43000</v>
      </c>
      <c r="E46" s="49"/>
      <c r="F46" s="49"/>
      <c r="G46" s="49"/>
      <c r="H46" s="50"/>
    </row>
    <row r="47" spans="1:8" ht="25.5" x14ac:dyDescent="0.25">
      <c r="A47" s="48">
        <v>45</v>
      </c>
      <c r="B47" s="47" t="s">
        <v>61</v>
      </c>
      <c r="C47" s="49">
        <v>33750</v>
      </c>
      <c r="D47" s="65"/>
      <c r="E47" s="49"/>
      <c r="F47" s="49"/>
      <c r="G47" s="49"/>
      <c r="H47" s="50"/>
    </row>
    <row r="48" spans="1:8" ht="38.25" x14ac:dyDescent="0.25">
      <c r="A48" s="48" t="s">
        <v>72</v>
      </c>
      <c r="B48" s="47" t="s">
        <v>73</v>
      </c>
      <c r="C48" s="49">
        <f t="shared" ref="C48:D48" si="26">C49</f>
        <v>0</v>
      </c>
      <c r="D48" s="49">
        <f t="shared" si="26"/>
        <v>15000</v>
      </c>
      <c r="E48" s="49">
        <f>E49</f>
        <v>250</v>
      </c>
      <c r="F48" s="49">
        <f t="shared" ref="F48:G48" si="27">F49</f>
        <v>250</v>
      </c>
      <c r="G48" s="49">
        <f t="shared" si="27"/>
        <v>250</v>
      </c>
      <c r="H48" s="50"/>
    </row>
    <row r="49" spans="1:8" ht="38.25" x14ac:dyDescent="0.25">
      <c r="A49" s="48" t="s">
        <v>57</v>
      </c>
      <c r="B49" s="47" t="s">
        <v>7</v>
      </c>
      <c r="C49" s="49">
        <f>C50</f>
        <v>0</v>
      </c>
      <c r="D49" s="49">
        <f>D50</f>
        <v>15000</v>
      </c>
      <c r="E49" s="49">
        <f>E50</f>
        <v>250</v>
      </c>
      <c r="F49" s="49">
        <f t="shared" ref="F49:G49" si="28">F50</f>
        <v>250</v>
      </c>
      <c r="G49" s="49">
        <f t="shared" si="28"/>
        <v>250</v>
      </c>
      <c r="H49" s="50"/>
    </row>
    <row r="50" spans="1:8" x14ac:dyDescent="0.25">
      <c r="A50" s="48">
        <v>32</v>
      </c>
      <c r="B50" s="47" t="s">
        <v>17</v>
      </c>
      <c r="C50" s="49"/>
      <c r="D50" s="65">
        <v>15000</v>
      </c>
      <c r="E50" s="49">
        <v>250</v>
      </c>
      <c r="F50" s="49">
        <v>250</v>
      </c>
      <c r="G50" s="49">
        <v>250</v>
      </c>
      <c r="H50" s="50"/>
    </row>
    <row r="51" spans="1:8" ht="38.25" x14ac:dyDescent="0.25">
      <c r="A51" s="48" t="s">
        <v>116</v>
      </c>
      <c r="B51" s="47" t="s">
        <v>111</v>
      </c>
      <c r="C51" s="49">
        <f>C52</f>
        <v>0</v>
      </c>
      <c r="D51" s="49">
        <f t="shared" ref="D51:G52" si="29">D52</f>
        <v>0</v>
      </c>
      <c r="E51" s="49">
        <f t="shared" si="29"/>
        <v>0</v>
      </c>
      <c r="F51" s="49">
        <f t="shared" si="29"/>
        <v>154356.85</v>
      </c>
      <c r="G51" s="49">
        <f t="shared" si="29"/>
        <v>0</v>
      </c>
      <c r="H51" s="50"/>
    </row>
    <row r="52" spans="1:8" ht="38.25" x14ac:dyDescent="0.25">
      <c r="A52" s="48" t="s">
        <v>117</v>
      </c>
      <c r="B52" s="47" t="s">
        <v>9</v>
      </c>
      <c r="C52" s="49">
        <f>C53</f>
        <v>0</v>
      </c>
      <c r="D52" s="49">
        <f t="shared" si="29"/>
        <v>0</v>
      </c>
      <c r="E52" s="49">
        <f t="shared" si="29"/>
        <v>0</v>
      </c>
      <c r="F52" s="49">
        <f t="shared" si="29"/>
        <v>154356.85</v>
      </c>
      <c r="G52" s="49">
        <f t="shared" si="29"/>
        <v>0</v>
      </c>
      <c r="H52" s="50"/>
    </row>
    <row r="53" spans="1:8" ht="25.5" x14ac:dyDescent="0.25">
      <c r="A53" s="43">
        <v>45</v>
      </c>
      <c r="B53" s="47" t="s">
        <v>114</v>
      </c>
      <c r="C53" s="49"/>
      <c r="D53" s="65"/>
      <c r="E53" s="49"/>
      <c r="F53" s="49">
        <v>154356.85</v>
      </c>
      <c r="G53" s="49"/>
      <c r="H53" s="50"/>
    </row>
    <row r="54" spans="1:8" ht="38.25" x14ac:dyDescent="0.25">
      <c r="A54" s="51" t="s">
        <v>99</v>
      </c>
      <c r="B54" s="52" t="s">
        <v>98</v>
      </c>
      <c r="C54" s="90">
        <f>C55</f>
        <v>589454.68000000005</v>
      </c>
      <c r="D54" s="90">
        <f t="shared" ref="D54:G54" si="30">D55</f>
        <v>2441686</v>
      </c>
      <c r="E54" s="90">
        <f t="shared" si="30"/>
        <v>473287</v>
      </c>
      <c r="F54" s="90">
        <f t="shared" si="30"/>
        <v>473287</v>
      </c>
      <c r="G54" s="90">
        <f t="shared" si="30"/>
        <v>473287</v>
      </c>
      <c r="H54" s="95"/>
    </row>
    <row r="55" spans="1:8" ht="32.25" customHeight="1" x14ac:dyDescent="0.25">
      <c r="A55" s="48" t="s">
        <v>55</v>
      </c>
      <c r="B55" s="47" t="s">
        <v>56</v>
      </c>
      <c r="C55" s="49">
        <f>C56</f>
        <v>589454.68000000005</v>
      </c>
      <c r="D55" s="49">
        <f t="shared" ref="D55:G56" si="31">D56</f>
        <v>2441686</v>
      </c>
      <c r="E55" s="49">
        <f t="shared" si="31"/>
        <v>473287</v>
      </c>
      <c r="F55" s="49">
        <f t="shared" si="31"/>
        <v>473287</v>
      </c>
      <c r="G55" s="49">
        <f t="shared" si="31"/>
        <v>473287</v>
      </c>
      <c r="H55" s="50"/>
    </row>
    <row r="56" spans="1:8" ht="31.5" customHeight="1" x14ac:dyDescent="0.25">
      <c r="A56" s="48" t="s">
        <v>57</v>
      </c>
      <c r="B56" s="47" t="s">
        <v>7</v>
      </c>
      <c r="C56" s="49">
        <f>C57</f>
        <v>589454.68000000005</v>
      </c>
      <c r="D56" s="49">
        <f t="shared" si="31"/>
        <v>2441686</v>
      </c>
      <c r="E56" s="49">
        <f t="shared" si="31"/>
        <v>473287</v>
      </c>
      <c r="F56" s="49">
        <f t="shared" si="31"/>
        <v>473287</v>
      </c>
      <c r="G56" s="49">
        <f t="shared" si="31"/>
        <v>473287</v>
      </c>
      <c r="H56" s="50"/>
    </row>
    <row r="57" spans="1:8" x14ac:dyDescent="0.25">
      <c r="A57" s="48">
        <v>32</v>
      </c>
      <c r="B57" s="47" t="s">
        <v>17</v>
      </c>
      <c r="C57" s="49">
        <v>589454.68000000005</v>
      </c>
      <c r="D57" s="65">
        <v>2441686</v>
      </c>
      <c r="E57" s="49">
        <v>473287</v>
      </c>
      <c r="F57" s="49">
        <v>473287</v>
      </c>
      <c r="G57" s="49">
        <v>473287</v>
      </c>
      <c r="H57" s="50"/>
    </row>
    <row r="58" spans="1:8" x14ac:dyDescent="0.25">
      <c r="A58" s="122" t="s">
        <v>115</v>
      </c>
      <c r="C58" s="50"/>
      <c r="D58" s="88"/>
      <c r="E58" s="50"/>
      <c r="F58" s="50"/>
      <c r="G58" s="50"/>
      <c r="H58" s="50"/>
    </row>
    <row r="59" spans="1:8" x14ac:dyDescent="0.25">
      <c r="C59" s="50"/>
      <c r="D59" s="88"/>
      <c r="E59" s="50"/>
      <c r="F59" s="50"/>
      <c r="G59" s="50"/>
      <c r="H59" s="50"/>
    </row>
  </sheetData>
  <mergeCells count="2">
    <mergeCell ref="A4:B4"/>
    <mergeCell ref="A2:G2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NASLOVNICA</vt:lpstr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NASLOVNICA!Print_Area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2025-12-12T10:20:07Z</cp:lastPrinted>
  <dcterms:created xsi:type="dcterms:W3CDTF">2022-08-12T12:51:27Z</dcterms:created>
  <dcterms:modified xsi:type="dcterms:W3CDTF">2025-12-22T09:18:43Z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