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PRIHODA'!$A$1:$H$47</definedName>
    <definedName name="_xlnm.Print_Area" localSheetId="2">'PLAN RASHODA I IZDATAKA'!$A$1:$L$219</definedName>
    <definedName name="_xlnm.Print_Titles" localSheetId="1">'PLAN PRIHODA'!$1:$1</definedName>
  </definedNames>
  <calcPr fullCalcOnLoad="1"/>
</workbook>
</file>

<file path=xl/sharedStrings.xml><?xml version="1.0" encoding="utf-8"?>
<sst xmlns="http://schemas.openxmlformats.org/spreadsheetml/2006/main" count="325" uniqueCount="196">
  <si>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</si>
  <si>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</si>
  <si>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</si>
  <si>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</si>
  <si>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</si>
  <si>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</si>
  <si>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</si>
  <si>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</si>
  <si>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</si>
  <si>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</si>
  <si>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</si>
  <si>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</si>
  <si>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</si>
  <si>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</si>
  <si>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</si>
  <si>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</si>
  <si>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</si>
  <si>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</si>
  <si>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</si>
  <si>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</si>
  <si>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</si>
  <si>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</si>
  <si>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</si>
  <si>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</si>
  <si>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</si>
  <si>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</si>
  <si>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</si>
  <si>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</si>
  <si>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</si>
  <si>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</si>
  <si>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</si>
  <si>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</si>
  <si>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</si>
  <si>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</si>
  <si>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</si>
  <si>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Opći prihodi i primici - županijski proračun</t>
  </si>
  <si>
    <t>OPĆA BOLNICA "DR. IVO PEDIŠIĆ" SISAK</t>
  </si>
  <si>
    <t>Opći prihodi i primici - Županijski proračun</t>
  </si>
  <si>
    <t xml:space="preserve">RASH. UKUP </t>
  </si>
  <si>
    <t>OSTALI</t>
  </si>
  <si>
    <t>OST= RASH- OSTALI- RED.DJ.</t>
  </si>
  <si>
    <t>Program zdravstvene zaštite bolesnika oboljelih od akutnih bolesti</t>
  </si>
  <si>
    <t>Aktivnost: REDOVNA DJELATNOST BOLNICE</t>
  </si>
  <si>
    <t xml:space="preserve">RASHODI POSLOVANJA </t>
  </si>
  <si>
    <t>Plaće (bruto)</t>
  </si>
  <si>
    <t>Plaće</t>
  </si>
  <si>
    <t xml:space="preserve">Ostali rashodi za zaposlene </t>
  </si>
  <si>
    <t>Doprinosi za obvezno zdravstveno osiguranje</t>
  </si>
  <si>
    <t>Doprinosi za obvezno osiguranje u slučaju nezaposlenosti</t>
  </si>
  <si>
    <t>Službena putovanja</t>
  </si>
  <si>
    <t>Naknade za prijevoz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</si>
  <si>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</si>
  <si>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</si>
  <si>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</si>
  <si>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</si>
  <si>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</si>
  <si>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</si>
  <si>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</si>
  <si>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</si>
  <si>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</si>
  <si>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</si>
  <si>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 xml:space="preserve">Komunalne usluge </t>
  </si>
  <si>
    <t>Zakupnine i najamnine</t>
  </si>
  <si>
    <t>Zdravstvene i veterinarske usluge</t>
  </si>
  <si>
    <t>Intelektualne i osobne usluge</t>
  </si>
  <si>
    <t xml:space="preserve">Računalne usluge </t>
  </si>
  <si>
    <t>Ostale usluge</t>
  </si>
  <si>
    <t>Naknade troškova osobama izvan radnog odnosa</t>
  </si>
  <si>
    <t>Naknade za rad predstavničkih i izvršnih tijela, povjerenstava i sl.</t>
  </si>
  <si>
    <t>Premije osiguranja</t>
  </si>
  <si>
    <t>Članarine</t>
  </si>
  <si>
    <t>Pristojbe i naknade</t>
  </si>
  <si>
    <t>Financijski rashodi</t>
  </si>
  <si>
    <t>Bankarske usluge i usluge platnog prometa</t>
  </si>
  <si>
    <t>Ostali rashodi</t>
  </si>
  <si>
    <t>Kazne, penali i naknade štete</t>
  </si>
  <si>
    <t>Naknade šteta pravnim i fizičkim osobama</t>
  </si>
  <si>
    <t xml:space="preserve">UKUPNO </t>
  </si>
  <si>
    <t>RASHODI ZA NABAVU NEFINANCIJSKE IMOVINE</t>
  </si>
  <si>
    <t>Rashodi za nabavu proizvedene dugotrajne imovine</t>
  </si>
  <si>
    <t>Građevinski objekti</t>
  </si>
  <si>
    <t>Program javnih potreba u zdravstvu</t>
  </si>
  <si>
    <t>Aktivnost: FINANCIRANJE PROGRAMA INTERVENCIJSKOG ZBRINJAVANJA INFARKTA MIOKARDA</t>
  </si>
  <si>
    <t>Aktivnost: PROGRAM LOGOPEDSKOG TRETMANA DJECE</t>
  </si>
  <si>
    <t>Aktivnost: FINANCIRANJE ODRŽAVANJA ZDRAVSTVENIH USTANOVA</t>
  </si>
  <si>
    <t>Projekt: FINANCIRANJE ULAGANJA U ZDRAVSTVENE USTANOVE</t>
  </si>
  <si>
    <t>Uredska oprema i namještaj</t>
  </si>
  <si>
    <t>Medicinska i laboratorijska oprema</t>
  </si>
  <si>
    <t>Rashodi za dodatna ulaganjana nefinancijskoj imovini</t>
  </si>
  <si>
    <t>Dodatna ulaganja na građevinskim objektima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</si>
  <si>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</si>
  <si>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</si>
  <si>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</si>
  <si>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SVEUKUPNO</t>
  </si>
  <si>
    <t>Višak/manjak prihoda</t>
  </si>
  <si>
    <t>Manjak prihoda</t>
  </si>
  <si>
    <t>Minimalni financijski standard - zdravstvo</t>
  </si>
  <si>
    <t xml:space="preserve">Kamate na primljene kredite i zajmove </t>
  </si>
  <si>
    <t>Kamate na primljene kredite i zajmove od kreditnih i ostalih fin.inst izvan javnog sektora</t>
  </si>
  <si>
    <t>Negativne tečajne razlike i razlike zbog primjene valutne klauzule</t>
  </si>
  <si>
    <t>Oprema za održavanje i zaštitu</t>
  </si>
  <si>
    <t xml:space="preserve">Uređaji, strojevi i oprema za ostale namjene </t>
  </si>
  <si>
    <t>Ravnatelj</t>
  </si>
  <si>
    <t>636 Pomoći iz pror.nenadlež.</t>
  </si>
  <si>
    <t>642 Prih od nefinanc.imovine</t>
  </si>
  <si>
    <t xml:space="preserve">641 Prih.od kamata po viđenju </t>
  </si>
  <si>
    <t>652 Prih po poseb.propisima</t>
  </si>
  <si>
    <t>661 Prih.od prodaje proizv i usl</t>
  </si>
  <si>
    <t>663 Prih od donacija</t>
  </si>
  <si>
    <t>673 Prih od HZZO po ugov.obv</t>
  </si>
  <si>
    <t>Poslovni objekti - objedinjeni hitni bolnički prijem</t>
  </si>
  <si>
    <t>Poslovni objekti - dnevne bolnice</t>
  </si>
  <si>
    <t>mr.sc.Tomislav Dujmenović, dr.med.</t>
  </si>
  <si>
    <t>638 Pomoći temeljem prijenosa  EU sredstava</t>
  </si>
  <si>
    <t>Projekt: Rekonstrukcija bolničkog kompleksa i uspostava objedinjenog hitnog bolničkog prijema u Općoj bolnici "Dr. Ivo Pedišić" Sisak kroz infrastrukturna ulaganja i opremanje</t>
  </si>
  <si>
    <t>Projekt: Rekonstrukcija bolničkog kompleksa i uspostava dnevne bolnice u Općoj bolnici "Dr. Ivo Pedišić" Sisak kroz infrastrukturna ulaganja i opremanje</t>
  </si>
  <si>
    <t>Središnji paviljon - ukupno</t>
  </si>
  <si>
    <t>671 Prih iz nadlež.proračuna</t>
  </si>
  <si>
    <t>681 Prih.od kazni i uprav.mjera</t>
  </si>
  <si>
    <t>683 Ostali prihodi</t>
  </si>
  <si>
    <t>Zatezne kamate</t>
  </si>
  <si>
    <t>Rashodi za nabavu nefinancijske imovine</t>
  </si>
  <si>
    <t>Rashodi za dodatna ulaganja na nefinancijskoj imovini</t>
  </si>
  <si>
    <t>Rezultat poslovanja</t>
  </si>
  <si>
    <t xml:space="preserve">Rash.za nab.proizvedene dugotrajne imovine </t>
  </si>
  <si>
    <t>Ukupno prihodi i primici za 2020.</t>
  </si>
  <si>
    <t>konto prihoda</t>
  </si>
  <si>
    <t>Uredska oprema</t>
  </si>
  <si>
    <t>Nematerijalna proizvedena imovina</t>
  </si>
  <si>
    <t>Ulaganja u račun programe</t>
  </si>
  <si>
    <t>Dodatna ulaganja na postrojenjima i opremi</t>
  </si>
  <si>
    <t>922 Višak/manjak prihoda</t>
  </si>
  <si>
    <t>721 Prih.od prod.građ.objekata</t>
  </si>
  <si>
    <t>724 Prih.od prod.umj.djela</t>
  </si>
  <si>
    <t>844 Prim.od kredita</t>
  </si>
  <si>
    <t>Ostali nespomenuti financijski rashodi</t>
  </si>
  <si>
    <t>Uređaji, strojevi i oprema za ostale namjene</t>
  </si>
  <si>
    <t>Ostale usluge promidžbe i informiranja</t>
  </si>
  <si>
    <t>Ukupno prihodi i primici za 2021.</t>
  </si>
  <si>
    <t>Intelektualne usluge</t>
  </si>
  <si>
    <t>634 Pomoći od izvanpr.korisn.</t>
  </si>
  <si>
    <t>Prihodi za posebne namjene</t>
  </si>
  <si>
    <t>652, 673</t>
  </si>
  <si>
    <t>634, 636, 638</t>
  </si>
  <si>
    <t>641,642,661,681, 683</t>
  </si>
  <si>
    <t>IZVOR</t>
  </si>
  <si>
    <t>1.1.</t>
  </si>
  <si>
    <t>3.1.1.</t>
  </si>
  <si>
    <t>4.3.1.</t>
  </si>
  <si>
    <t>5.2.2.</t>
  </si>
  <si>
    <t>6.1.1.</t>
  </si>
  <si>
    <t>7.1.1.</t>
  </si>
  <si>
    <t>8.1.1.</t>
  </si>
  <si>
    <t>Prijevozna sredstva</t>
  </si>
  <si>
    <t>Prijevozna sredstva u cestovnom prometu</t>
  </si>
  <si>
    <t>Bankarske usluge</t>
  </si>
  <si>
    <t>2022.</t>
  </si>
  <si>
    <t>Šifra: A031003A100001</t>
  </si>
  <si>
    <t>Troškovi sudskih postupaka</t>
  </si>
  <si>
    <t>Šifra: A031003K100013</t>
  </si>
  <si>
    <t>Šifra: A031003K100014</t>
  </si>
  <si>
    <t>Šifra: A031001A100003</t>
  </si>
  <si>
    <t>Šifra: A031001A100007</t>
  </si>
  <si>
    <t>Šifra: A031001A100009</t>
  </si>
  <si>
    <t>Šifra: A031002A100001</t>
  </si>
  <si>
    <t>Šifra: A031002K100002</t>
  </si>
  <si>
    <t>Ukupno prihodi i primici za 2022.</t>
  </si>
  <si>
    <t>UKUPAN DONOS MANJKA IZ PRETHODNIH GODINA</t>
  </si>
  <si>
    <t>MANJAK IZ PRETHODNIH GODINA KOJI ĆE SE RASPOREDITI</t>
  </si>
  <si>
    <t>Aktivnost: POVEĆANI ZDRAVSTVENI STANDARD</t>
  </si>
  <si>
    <t>DEC</t>
  </si>
  <si>
    <t>Ugovori odjelu-dopunski rad</t>
  </si>
  <si>
    <t>2023.</t>
  </si>
  <si>
    <t>UKUPNO</t>
  </si>
  <si>
    <t>,</t>
  </si>
  <si>
    <t>Aktivnost:ULAGANJE U OBJEKTE ZDRAVSTVA - POTRES</t>
  </si>
  <si>
    <t>Rashodi za nabavu neproizvedene dugotrajne imovine</t>
  </si>
  <si>
    <t>Nematerijalna imovina</t>
  </si>
  <si>
    <t>Licence</t>
  </si>
  <si>
    <t>IZVOR UKUPNO</t>
  </si>
  <si>
    <t>OSTATAK=IZVOR-OSTALI-RED.DJ</t>
  </si>
  <si>
    <t>Sitni inventar</t>
  </si>
  <si>
    <t>Ostale nespomenute usluge - catering</t>
  </si>
  <si>
    <t>ukupno</t>
  </si>
  <si>
    <t>2024.</t>
  </si>
  <si>
    <t xml:space="preserve">PRIJEDLOG FINANCIJSKOG PLANA Opće bolnice "Dr.Ivo Pedišić" Sisak  ZA 2022. I                                                                                                                                                PROJEKCIJA PLANA ZA  2023. I 2024. GODINU </t>
  </si>
  <si>
    <t>Prijedlog plana 
za 2022.</t>
  </si>
  <si>
    <t>Projekcija plana
za 2023.</t>
  </si>
  <si>
    <t>Projekcija plana 
za 2024.</t>
  </si>
  <si>
    <t>PROJEKCIJA PLANA ZA 2023.</t>
  </si>
  <si>
    <t>PROJEKCIJA PLANA ZA 2024.</t>
  </si>
  <si>
    <t>PRIJEDLOG PLANA ZA 2020.</t>
  </si>
  <si>
    <t>PLAN PRIHODA I PRIMITAKA - 1. rebalans</t>
  </si>
  <si>
    <t>PLAN RASHODA I IZDATAKA 2022. - 1. rebalans</t>
  </si>
  <si>
    <t>Sisak, 27.prosinca 2021.</t>
  </si>
  <si>
    <t>OPĆI DIO - 1. rebalans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</si>
</sst>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67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9"/>
      <name val="Arial"/>
      <family val="2"/>
    </font>
    <font>
      <b/>
      <sz val="9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color indexed="8"/>
      <name val="Arial"/>
      <family val="2"/>
    </font>
    <font>
      <b/>
      <i/>
      <sz val="12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8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3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7" borderId="0" applyNumberFormat="0" applyBorder="0" applyAlignment="0" applyProtection="0"/>
    <xf numFmtId="0" fontId="0" fillId="19" borderId="7" applyNumberFormat="0" applyFont="0" applyAlignment="0" applyProtection="0"/>
    <xf numFmtId="0" fontId="14" fillId="0" borderId="0">
      <alignment/>
      <protection/>
    </xf>
    <xf numFmtId="0" fontId="64" fillId="20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44">
    <xf numFmtId="0" fontId="0" fillId="0" borderId="0" xfId="0" applyNumberForma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 quotePrefix="1">
      <alignment horizontal="left" vertical="center"/>
      <protection/>
    </xf>
    <xf numFmtId="0" fontId="16" fillId="0" borderId="0" xfId="0" applyNumberFormat="1" applyFont="1" applyFill="1" applyBorder="1" applyAlignment="1" applyProtection="1" quotePrefix="1">
      <alignment horizontal="center" vertical="center"/>
      <protection/>
    </xf>
    <xf numFmtId="3" fontId="16" fillId="0" borderId="0" xfId="0" applyNumberFormat="1" applyFont="1" applyFill="1" applyBorder="1" applyAlignment="1" applyProtection="1" quotePrefix="1">
      <alignment horizontal="left"/>
      <protection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 quotePrefix="1">
      <alignment horizontal="left" wrapText="1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15" fillId="0" borderId="11" xfId="0" applyNumberFormat="1" applyFont="1" applyFill="1" applyBorder="1" applyAlignment="1">
      <alignment horizontal="right" vertical="top" wrapText="1"/>
    </xf>
    <xf numFmtId="3" fontId="14" fillId="0" borderId="12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52" fillId="0" borderId="0" xfId="0" applyNumberFormat="1" applyFont="1" applyFill="1" applyBorder="1" applyAlignment="1" applyProtection="1">
      <alignment/>
      <protection/>
    </xf>
    <xf numFmtId="3" fontId="52" fillId="0" borderId="0" xfId="0" applyNumberFormat="1" applyFont="1" applyFill="1" applyBorder="1" applyAlignment="1" applyProtection="1">
      <alignment horizontal="center" vertical="center"/>
      <protection/>
    </xf>
    <xf numFmtId="3" fontId="52" fillId="0" borderId="0" xfId="0" applyNumberFormat="1" applyFont="1" applyFill="1" applyBorder="1" applyAlignment="1" applyProtection="1">
      <alignment horizontal="center" vertical="center" wrapText="1"/>
      <protection/>
    </xf>
    <xf numFmtId="1" fontId="15" fillId="0" borderId="13" xfId="0" applyNumberFormat="1" applyFont="1" applyFill="1" applyBorder="1" applyAlignment="1">
      <alignment horizontal="left" wrapText="1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1" fontId="14" fillId="0" borderId="0" xfId="0" applyNumberFormat="1" applyFont="1" applyFill="1" applyAlignment="1">
      <alignment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left" wrapText="1"/>
    </xf>
    <xf numFmtId="3" fontId="14" fillId="0" borderId="12" xfId="0" applyNumberFormat="1" applyFont="1" applyFill="1" applyBorder="1" applyAlignment="1">
      <alignment horizontal="right" vertical="center" wrapText="1"/>
    </xf>
    <xf numFmtId="3" fontId="14" fillId="0" borderId="12" xfId="0" applyNumberFormat="1" applyFont="1" applyFill="1" applyBorder="1" applyAlignment="1">
      <alignment horizontal="right" wrapText="1"/>
    </xf>
    <xf numFmtId="1" fontId="14" fillId="0" borderId="17" xfId="0" applyNumberFormat="1" applyFont="1" applyFill="1" applyBorder="1" applyAlignment="1">
      <alignment horizontal="left" wrapText="1"/>
    </xf>
    <xf numFmtId="3" fontId="14" fillId="0" borderId="18" xfId="0" applyNumberFormat="1" applyFont="1" applyFill="1" applyBorder="1" applyAlignment="1">
      <alignment horizontal="right"/>
    </xf>
    <xf numFmtId="1" fontId="15" fillId="0" borderId="17" xfId="0" applyNumberFormat="1" applyFont="1" applyFill="1" applyBorder="1" applyAlignment="1">
      <alignment wrapText="1"/>
    </xf>
    <xf numFmtId="3" fontId="14" fillId="0" borderId="12" xfId="0" applyNumberFormat="1" applyFont="1" applyFill="1" applyBorder="1" applyAlignment="1">
      <alignment/>
    </xf>
    <xf numFmtId="1" fontId="15" fillId="0" borderId="19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quotePrefix="1">
      <alignment horizontal="left" vertical="center"/>
    </xf>
    <xf numFmtId="0" fontId="20" fillId="0" borderId="0" xfId="0" applyFont="1" applyFill="1" applyBorder="1" applyAlignment="1" quotePrefix="1">
      <alignment horizontal="center" vertical="center"/>
    </xf>
    <xf numFmtId="0" fontId="22" fillId="0" borderId="0" xfId="0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 quotePrefix="1">
      <alignment horizontal="left" vertical="center" wrapText="1"/>
    </xf>
    <xf numFmtId="0" fontId="22" fillId="0" borderId="0" xfId="0" applyFont="1" applyFill="1" applyBorder="1" applyAlignment="1" quotePrefix="1">
      <alignment horizontal="left" vertical="center" wrapText="1"/>
    </xf>
    <xf numFmtId="0" fontId="21" fillId="0" borderId="0" xfId="0" applyFont="1" applyFill="1" applyBorder="1" applyAlignment="1" quotePrefix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5" fillId="0" borderId="0" xfId="0" applyFont="1" applyFill="1" applyBorder="1" applyAlignment="1" quotePrefix="1">
      <alignment horizontal="left" vertical="center"/>
    </xf>
    <xf numFmtId="3" fontId="32" fillId="21" borderId="12" xfId="0" applyNumberFormat="1" applyFont="1" applyFill="1" applyBorder="1" applyAlignment="1">
      <alignment horizontal="center" vertical="center" wrapText="1"/>
    </xf>
    <xf numFmtId="3" fontId="44" fillId="21" borderId="0" xfId="0" applyNumberFormat="1" applyFont="1" applyFill="1" applyBorder="1" applyAlignment="1">
      <alignment horizontal="center" vertical="center" wrapText="1"/>
    </xf>
    <xf numFmtId="0" fontId="0" fillId="21" borderId="0" xfId="0" applyFill="1" applyBorder="1" applyAlignment="1">
      <alignment/>
    </xf>
    <xf numFmtId="0" fontId="50" fillId="21" borderId="0" xfId="0" applyFont="1" applyFill="1" applyBorder="1" applyAlignment="1">
      <alignment/>
    </xf>
    <xf numFmtId="3" fontId="34" fillId="21" borderId="12" xfId="0" applyNumberFormat="1" applyFont="1" applyFill="1" applyBorder="1" applyAlignment="1">
      <alignment horizontal="right"/>
    </xf>
    <xf numFmtId="3" fontId="35" fillId="21" borderId="12" xfId="0" applyNumberFormat="1" applyFont="1" applyFill="1" applyBorder="1" applyAlignment="1">
      <alignment horizontal="right" vertical="center"/>
    </xf>
    <xf numFmtId="3" fontId="35" fillId="21" borderId="12" xfId="56" applyNumberFormat="1" applyFont="1" applyFill="1" applyBorder="1" applyProtection="1">
      <alignment/>
      <protection locked="0"/>
    </xf>
    <xf numFmtId="3" fontId="54" fillId="21" borderId="12" xfId="56" applyNumberFormat="1" applyFont="1" applyFill="1" applyBorder="1" applyProtection="1">
      <alignment/>
      <protection locked="0"/>
    </xf>
    <xf numFmtId="0" fontId="35" fillId="21" borderId="12" xfId="0" applyFont="1" applyFill="1" applyBorder="1" applyAlignment="1">
      <alignment horizontal="left" vertical="center"/>
    </xf>
    <xf numFmtId="0" fontId="35" fillId="21" borderId="12" xfId="0" applyFont="1" applyFill="1" applyBorder="1" applyAlignment="1">
      <alignment horizontal="left" vertical="center" wrapText="1"/>
    </xf>
    <xf numFmtId="3" fontId="35" fillId="21" borderId="12" xfId="0" applyNumberFormat="1" applyFont="1" applyFill="1" applyBorder="1" applyAlignment="1">
      <alignment horizontal="right"/>
    </xf>
    <xf numFmtId="3" fontId="37" fillId="21" borderId="0" xfId="0" applyNumberFormat="1" applyFont="1" applyFill="1" applyBorder="1" applyAlignment="1">
      <alignment horizontal="right" vertical="center"/>
    </xf>
    <xf numFmtId="3" fontId="37" fillId="21" borderId="12" xfId="0" applyNumberFormat="1" applyFont="1" applyFill="1" applyBorder="1" applyAlignment="1">
      <alignment horizontal="right" vertical="center"/>
    </xf>
    <xf numFmtId="3" fontId="34" fillId="21" borderId="20" xfId="0" applyNumberFormat="1" applyFont="1" applyFill="1" applyBorder="1" applyAlignment="1">
      <alignment horizontal="right"/>
    </xf>
    <xf numFmtId="3" fontId="34" fillId="21" borderId="21" xfId="0" applyNumberFormat="1" applyFont="1" applyFill="1" applyBorder="1" applyAlignment="1">
      <alignment horizontal="right"/>
    </xf>
    <xf numFmtId="3" fontId="35" fillId="21" borderId="22" xfId="0" applyNumberFormat="1" applyFont="1" applyFill="1" applyBorder="1" applyAlignment="1">
      <alignment horizontal="right"/>
    </xf>
    <xf numFmtId="3" fontId="34" fillId="21" borderId="22" xfId="0" applyNumberFormat="1" applyFont="1" applyFill="1" applyBorder="1" applyAlignment="1">
      <alignment horizontal="right"/>
    </xf>
    <xf numFmtId="3" fontId="35" fillId="21" borderId="22" xfId="56" applyNumberFormat="1" applyFont="1" applyFill="1" applyBorder="1" applyProtection="1">
      <alignment/>
      <protection locked="0"/>
    </xf>
    <xf numFmtId="3" fontId="35" fillId="21" borderId="21" xfId="56" applyNumberFormat="1" applyFont="1" applyFill="1" applyBorder="1" applyProtection="1">
      <alignment/>
      <protection locked="0"/>
    </xf>
    <xf numFmtId="3" fontId="33" fillId="21" borderId="23" xfId="0" applyNumberFormat="1" applyFont="1" applyFill="1" applyBorder="1" applyAlignment="1">
      <alignment vertical="center"/>
    </xf>
    <xf numFmtId="3" fontId="14" fillId="21" borderId="12" xfId="0" applyNumberFormat="1" applyFont="1" applyFill="1" applyBorder="1" applyAlignment="1">
      <alignment horizontal="right"/>
    </xf>
    <xf numFmtId="3" fontId="15" fillId="21" borderId="12" xfId="0" applyNumberFormat="1" applyFont="1" applyFill="1" applyBorder="1" applyAlignment="1">
      <alignment horizontal="right"/>
    </xf>
    <xf numFmtId="3" fontId="28" fillId="21" borderId="0" xfId="0" applyNumberFormat="1" applyFont="1" applyFill="1" applyBorder="1" applyAlignment="1">
      <alignment horizontal="right"/>
    </xf>
    <xf numFmtId="3" fontId="14" fillId="21" borderId="0" xfId="0" applyNumberFormat="1" applyFont="1" applyFill="1" applyBorder="1" applyAlignment="1">
      <alignment horizontal="right"/>
    </xf>
    <xf numFmtId="3" fontId="31" fillId="21" borderId="0" xfId="0" applyNumberFormat="1" applyFont="1" applyFill="1" applyAlignment="1">
      <alignment/>
    </xf>
    <xf numFmtId="3" fontId="0" fillId="21" borderId="0" xfId="0" applyNumberFormat="1" applyFill="1" applyAlignment="1">
      <alignment vertical="top"/>
    </xf>
    <xf numFmtId="3" fontId="57" fillId="0" borderId="0" xfId="0" applyNumberFormat="1" applyFont="1" applyFill="1" applyBorder="1" applyAlignment="1" applyProtection="1">
      <alignment/>
      <protection/>
    </xf>
    <xf numFmtId="1" fontId="14" fillId="0" borderId="24" xfId="0" applyNumberFormat="1" applyFont="1" applyFill="1" applyBorder="1" applyAlignment="1">
      <alignment horizontal="left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 horizontal="center" wrapText="1"/>
    </xf>
    <xf numFmtId="3" fontId="14" fillId="0" borderId="26" xfId="0" applyNumberFormat="1" applyFont="1" applyFill="1" applyBorder="1" applyAlignment="1">
      <alignment horizontal="right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1" fontId="14" fillId="0" borderId="28" xfId="0" applyNumberFormat="1" applyFont="1" applyFill="1" applyBorder="1" applyAlignment="1">
      <alignment horizontal="left" wrapText="1"/>
    </xf>
    <xf numFmtId="3" fontId="14" fillId="0" borderId="29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1" fontId="14" fillId="0" borderId="30" xfId="0" applyNumberFormat="1" applyFont="1" applyFill="1" applyBorder="1" applyAlignment="1">
      <alignment horizontal="left" wrapText="1"/>
    </xf>
    <xf numFmtId="3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/>
    </xf>
    <xf numFmtId="3" fontId="14" fillId="0" borderId="33" xfId="0" applyNumberFormat="1" applyFont="1" applyFill="1" applyBorder="1" applyAlignment="1">
      <alignment/>
    </xf>
    <xf numFmtId="1" fontId="15" fillId="0" borderId="34" xfId="0" applyNumberFormat="1" applyFont="1" applyFill="1" applyBorder="1" applyAlignment="1">
      <alignment wrapText="1"/>
    </xf>
    <xf numFmtId="3" fontId="14" fillId="0" borderId="35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1" fontId="15" fillId="0" borderId="4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 quotePrefix="1">
      <alignment horizontal="left" vertical="center"/>
    </xf>
    <xf numFmtId="0" fontId="20" fillId="0" borderId="0" xfId="0" applyFont="1" applyFill="1" applyBorder="1" applyAlignment="1" quotePrefix="1">
      <alignment horizontal="left" vertical="center"/>
    </xf>
    <xf numFmtId="3" fontId="31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left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3" fontId="32" fillId="0" borderId="12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 quotePrefix="1">
      <alignment horizontal="center" vertical="center" wrapText="1"/>
    </xf>
    <xf numFmtId="3" fontId="14" fillId="0" borderId="0" xfId="0" applyNumberFormat="1" applyFont="1" applyFill="1" applyAlignment="1">
      <alignment horizontal="center" vertical="center" wrapText="1"/>
    </xf>
    <xf numFmtId="3" fontId="29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3" fontId="33" fillId="0" borderId="41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 quotePrefix="1">
      <alignment horizontal="center" vertical="center" wrapText="1"/>
    </xf>
    <xf numFmtId="3" fontId="31" fillId="0" borderId="0" xfId="0" applyNumberFormat="1" applyFont="1" applyFill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58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41" xfId="0" applyFill="1" applyBorder="1" applyAlignment="1">
      <alignment/>
    </xf>
    <xf numFmtId="0" fontId="50" fillId="0" borderId="42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/>
    </xf>
    <xf numFmtId="3" fontId="44" fillId="0" borderId="0" xfId="0" applyNumberFormat="1" applyFont="1" applyFill="1" applyBorder="1" applyAlignment="1" quotePrefix="1">
      <alignment horizontal="center" vertical="center" wrapText="1"/>
    </xf>
    <xf numFmtId="3" fontId="44" fillId="0" borderId="0" xfId="0" applyNumberFormat="1" applyFont="1" applyFill="1" applyAlignment="1">
      <alignment horizontal="center" vertical="center" wrapText="1"/>
    </xf>
    <xf numFmtId="0" fontId="50" fillId="0" borderId="42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 vertical="center" wrapText="1"/>
    </xf>
    <xf numFmtId="3" fontId="34" fillId="0" borderId="12" xfId="0" applyNumberFormat="1" applyFont="1" applyFill="1" applyBorder="1" applyAlignment="1">
      <alignment horizontal="right"/>
    </xf>
    <xf numFmtId="3" fontId="33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3" fontId="31" fillId="0" borderId="12" xfId="0" applyNumberFormat="1" applyFont="1" applyFill="1" applyBorder="1" applyAlignment="1">
      <alignment/>
    </xf>
    <xf numFmtId="0" fontId="35" fillId="0" borderId="12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 vertical="center" wrapText="1"/>
    </xf>
    <xf numFmtId="3" fontId="35" fillId="0" borderId="12" xfId="0" applyNumberFormat="1" applyFont="1" applyFill="1" applyBorder="1" applyAlignment="1">
      <alignment horizontal="right"/>
    </xf>
    <xf numFmtId="0" fontId="35" fillId="0" borderId="12" xfId="0" applyFont="1" applyFill="1" applyBorder="1" applyAlignment="1">
      <alignment horizontal="left" vertical="center"/>
    </xf>
    <xf numFmtId="3" fontId="35" fillId="0" borderId="12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/>
    </xf>
    <xf numFmtId="0" fontId="34" fillId="0" borderId="12" xfId="0" applyFont="1" applyFill="1" applyBorder="1" applyAlignment="1">
      <alignment horizontal="left" vertical="center"/>
    </xf>
    <xf numFmtId="3" fontId="35" fillId="0" borderId="12" xfId="56" applyNumberFormat="1" applyFont="1" applyFill="1" applyBorder="1" applyProtection="1">
      <alignment/>
      <protection locked="0"/>
    </xf>
    <xf numFmtId="0" fontId="54" fillId="0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 wrapText="1"/>
    </xf>
    <xf numFmtId="3" fontId="54" fillId="0" borderId="12" xfId="0" applyNumberFormat="1" applyFont="1" applyFill="1" applyBorder="1" applyAlignment="1">
      <alignment horizontal="right"/>
    </xf>
    <xf numFmtId="3" fontId="54" fillId="0" borderId="12" xfId="56" applyNumberFormat="1" applyFont="1" applyFill="1" applyBorder="1" applyProtection="1">
      <alignment/>
      <protection locked="0"/>
    </xf>
    <xf numFmtId="3" fontId="55" fillId="0" borderId="0" xfId="0" applyNumberFormat="1" applyFont="1" applyFill="1" applyAlignment="1">
      <alignment/>
    </xf>
    <xf numFmtId="3" fontId="56" fillId="0" borderId="0" xfId="0" applyNumberFormat="1" applyFont="1" applyFill="1" applyAlignment="1">
      <alignment/>
    </xf>
    <xf numFmtId="3" fontId="35" fillId="0" borderId="12" xfId="0" applyNumberFormat="1" applyFont="1" applyFill="1" applyBorder="1" applyAlignment="1">
      <alignment/>
    </xf>
    <xf numFmtId="3" fontId="48" fillId="0" borderId="12" xfId="0" applyNumberFormat="1" applyFont="1" applyFill="1" applyBorder="1" applyAlignment="1">
      <alignment horizontal="right"/>
    </xf>
    <xf numFmtId="0" fontId="45" fillId="0" borderId="12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 wrapText="1"/>
    </xf>
    <xf numFmtId="3" fontId="45" fillId="0" borderId="12" xfId="0" applyNumberFormat="1" applyFont="1" applyFill="1" applyBorder="1" applyAlignment="1">
      <alignment horizontal="right"/>
    </xf>
    <xf numFmtId="3" fontId="46" fillId="0" borderId="0" xfId="0" applyNumberFormat="1" applyFont="1" applyFill="1" applyAlignment="1">
      <alignment/>
    </xf>
    <xf numFmtId="0" fontId="47" fillId="0" borderId="12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left" vertical="center" wrapText="1"/>
    </xf>
    <xf numFmtId="3" fontId="47" fillId="0" borderId="12" xfId="0" applyNumberFormat="1" applyFont="1" applyFill="1" applyBorder="1" applyAlignment="1">
      <alignment horizontal="right"/>
    </xf>
    <xf numFmtId="3" fontId="51" fillId="0" borderId="0" xfId="0" applyNumberFormat="1" applyFont="1" applyFill="1" applyAlignment="1">
      <alignment/>
    </xf>
    <xf numFmtId="3" fontId="34" fillId="0" borderId="12" xfId="0" applyNumberFormat="1" applyFont="1" applyFill="1" applyBorder="1" applyAlignment="1">
      <alignment horizontal="right" vertical="center"/>
    </xf>
    <xf numFmtId="3" fontId="34" fillId="0" borderId="29" xfId="0" applyNumberFormat="1" applyFont="1" applyFill="1" applyBorder="1" applyAlignment="1">
      <alignment horizontal="right" vertical="center"/>
    </xf>
    <xf numFmtId="3" fontId="34" fillId="0" borderId="0" xfId="0" applyNumberFormat="1" applyFont="1" applyFill="1" applyAlignment="1">
      <alignment/>
    </xf>
    <xf numFmtId="3" fontId="36" fillId="0" borderId="0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Alignment="1">
      <alignment/>
    </xf>
    <xf numFmtId="3" fontId="28" fillId="0" borderId="0" xfId="0" applyNumberFormat="1" applyFont="1" applyFill="1" applyBorder="1" applyAlignment="1">
      <alignment wrapText="1"/>
    </xf>
    <xf numFmtId="3" fontId="29" fillId="0" borderId="0" xfId="0" applyNumberFormat="1" applyFont="1" applyFill="1" applyAlignment="1">
      <alignment/>
    </xf>
    <xf numFmtId="3" fontId="34" fillId="0" borderId="12" xfId="0" applyNumberFormat="1" applyFont="1" applyFill="1" applyBorder="1" applyAlignment="1" quotePrefix="1">
      <alignment wrapText="1"/>
    </xf>
    <xf numFmtId="3" fontId="36" fillId="0" borderId="12" xfId="0" applyNumberFormat="1" applyFont="1" applyFill="1" applyBorder="1" applyAlignment="1">
      <alignment vertical="center"/>
    </xf>
    <xf numFmtId="3" fontId="35" fillId="0" borderId="12" xfId="0" applyNumberFormat="1" applyFont="1" applyFill="1" applyBorder="1" applyAlignment="1" quotePrefix="1">
      <alignment wrapText="1"/>
    </xf>
    <xf numFmtId="3" fontId="49" fillId="0" borderId="12" xfId="0" applyNumberFormat="1" applyFont="1" applyFill="1" applyBorder="1" applyAlignment="1">
      <alignment vertical="center"/>
    </xf>
    <xf numFmtId="0" fontId="35" fillId="0" borderId="12" xfId="0" applyNumberFormat="1" applyFont="1" applyFill="1" applyBorder="1" applyAlignment="1">
      <alignment horizontal="left" wrapText="1"/>
    </xf>
    <xf numFmtId="3" fontId="35" fillId="0" borderId="12" xfId="0" applyNumberFormat="1" applyFont="1" applyFill="1" applyBorder="1" applyAlignment="1">
      <alignment/>
    </xf>
    <xf numFmtId="3" fontId="35" fillId="0" borderId="12" xfId="0" applyNumberFormat="1" applyFont="1" applyFill="1" applyBorder="1" applyAlignment="1">
      <alignment vertical="center"/>
    </xf>
    <xf numFmtId="3" fontId="35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3" fontId="37" fillId="0" borderId="12" xfId="0" applyNumberFormat="1" applyFont="1" applyFill="1" applyBorder="1" applyAlignment="1">
      <alignment horizontal="right" vertical="center"/>
    </xf>
    <xf numFmtId="3" fontId="28" fillId="0" borderId="23" xfId="0" applyNumberFormat="1" applyFont="1" applyFill="1" applyBorder="1" applyAlignment="1">
      <alignment wrapText="1"/>
    </xf>
    <xf numFmtId="3" fontId="34" fillId="0" borderId="12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top"/>
    </xf>
    <xf numFmtId="3" fontId="14" fillId="0" borderId="43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horizontal="center"/>
    </xf>
    <xf numFmtId="3" fontId="37" fillId="0" borderId="29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 quotePrefix="1">
      <alignment horizontal="left" vertical="center"/>
    </xf>
    <xf numFmtId="0" fontId="34" fillId="0" borderId="44" xfId="0" applyFont="1" applyFill="1" applyBorder="1" applyAlignment="1">
      <alignment horizontal="left"/>
    </xf>
    <xf numFmtId="0" fontId="34" fillId="0" borderId="20" xfId="0" applyFont="1" applyFill="1" applyBorder="1" applyAlignment="1">
      <alignment horizontal="left" vertical="center" wrapText="1"/>
    </xf>
    <xf numFmtId="3" fontId="34" fillId="0" borderId="20" xfId="0" applyNumberFormat="1" applyFont="1" applyFill="1" applyBorder="1" applyAlignment="1">
      <alignment horizontal="right"/>
    </xf>
    <xf numFmtId="0" fontId="34" fillId="0" borderId="45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left" vertical="center" wrapText="1"/>
    </xf>
    <xf numFmtId="3" fontId="34" fillId="0" borderId="21" xfId="0" applyNumberFormat="1" applyFont="1" applyFill="1" applyBorder="1" applyAlignment="1">
      <alignment horizontal="right"/>
    </xf>
    <xf numFmtId="3" fontId="34" fillId="0" borderId="46" xfId="0" applyNumberFormat="1" applyFont="1" applyFill="1" applyBorder="1" applyAlignment="1">
      <alignment horizontal="right"/>
    </xf>
    <xf numFmtId="0" fontId="35" fillId="0" borderId="47" xfId="0" applyFont="1" applyFill="1" applyBorder="1" applyAlignment="1">
      <alignment horizontal="left"/>
    </xf>
    <xf numFmtId="0" fontId="35" fillId="0" borderId="22" xfId="0" applyFont="1" applyFill="1" applyBorder="1" applyAlignment="1">
      <alignment horizontal="left" vertical="center" wrapText="1"/>
    </xf>
    <xf numFmtId="3" fontId="35" fillId="0" borderId="22" xfId="0" applyNumberFormat="1" applyFont="1" applyFill="1" applyBorder="1" applyAlignment="1">
      <alignment horizontal="right"/>
    </xf>
    <xf numFmtId="3" fontId="35" fillId="0" borderId="48" xfId="0" applyNumberFormat="1" applyFont="1" applyFill="1" applyBorder="1" applyAlignment="1">
      <alignment horizontal="right"/>
    </xf>
    <xf numFmtId="0" fontId="34" fillId="0" borderId="47" xfId="0" applyFont="1" applyFill="1" applyBorder="1" applyAlignment="1">
      <alignment horizontal="left" vertical="center"/>
    </xf>
    <xf numFmtId="0" fontId="34" fillId="0" borderId="22" xfId="0" applyFont="1" applyFill="1" applyBorder="1" applyAlignment="1">
      <alignment horizontal="left" vertical="center" wrapText="1"/>
    </xf>
    <xf numFmtId="3" fontId="34" fillId="0" borderId="22" xfId="0" applyNumberFormat="1" applyFont="1" applyFill="1" applyBorder="1" applyAlignment="1">
      <alignment horizontal="right"/>
    </xf>
    <xf numFmtId="3" fontId="34" fillId="0" borderId="48" xfId="0" applyNumberFormat="1" applyFont="1" applyFill="1" applyBorder="1" applyAlignment="1">
      <alignment horizontal="right"/>
    </xf>
    <xf numFmtId="0" fontId="35" fillId="0" borderId="47" xfId="0" applyFont="1" applyFill="1" applyBorder="1" applyAlignment="1">
      <alignment horizontal="left" vertical="center"/>
    </xf>
    <xf numFmtId="3" fontId="35" fillId="0" borderId="22" xfId="56" applyNumberFormat="1" applyFont="1" applyFill="1" applyBorder="1" applyProtection="1">
      <alignment/>
      <protection locked="0"/>
    </xf>
    <xf numFmtId="3" fontId="35" fillId="0" borderId="21" xfId="56" applyNumberFormat="1" applyFont="1" applyFill="1" applyBorder="1" applyProtection="1">
      <alignment/>
      <protection locked="0"/>
    </xf>
    <xf numFmtId="3" fontId="35" fillId="0" borderId="21" xfId="0" applyNumberFormat="1" applyFont="1" applyFill="1" applyBorder="1" applyAlignment="1">
      <alignment horizontal="right"/>
    </xf>
    <xf numFmtId="3" fontId="35" fillId="0" borderId="46" xfId="0" applyNumberFormat="1" applyFont="1" applyFill="1" applyBorder="1" applyAlignment="1">
      <alignment horizontal="right"/>
    </xf>
    <xf numFmtId="3" fontId="28" fillId="0" borderId="23" xfId="0" applyNumberFormat="1" applyFont="1" applyFill="1" applyBorder="1" applyAlignment="1">
      <alignment/>
    </xf>
    <xf numFmtId="3" fontId="33" fillId="0" borderId="23" xfId="0" applyNumberFormat="1" applyFont="1" applyFill="1" applyBorder="1" applyAlignment="1" quotePrefix="1">
      <alignment wrapText="1"/>
    </xf>
    <xf numFmtId="3" fontId="33" fillId="0" borderId="23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right" vertical="center" wrapText="1"/>
    </xf>
    <xf numFmtId="3" fontId="34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wrapText="1"/>
    </xf>
    <xf numFmtId="3" fontId="31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36" fillId="0" borderId="12" xfId="0" applyNumberFormat="1" applyFont="1" applyFill="1" applyBorder="1" applyAlignment="1">
      <alignment horizontal="right" vertical="center"/>
    </xf>
    <xf numFmtId="3" fontId="53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 vertical="center"/>
    </xf>
    <xf numFmtId="0" fontId="36" fillId="0" borderId="12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 wrapText="1"/>
    </xf>
    <xf numFmtId="3" fontId="36" fillId="0" borderId="12" xfId="0" applyNumberFormat="1" applyFont="1" applyFill="1" applyBorder="1" applyAlignment="1">
      <alignment horizontal="right"/>
    </xf>
    <xf numFmtId="3" fontId="53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3" fontId="28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Alignment="1">
      <alignment horizontal="center"/>
    </xf>
    <xf numFmtId="3" fontId="29" fillId="0" borderId="0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left"/>
    </xf>
    <xf numFmtId="3" fontId="36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top"/>
    </xf>
    <xf numFmtId="3" fontId="4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left"/>
    </xf>
    <xf numFmtId="3" fontId="42" fillId="0" borderId="0" xfId="0" applyNumberFormat="1" applyFont="1" applyFill="1" applyAlignment="1">
      <alignment vertical="top"/>
    </xf>
    <xf numFmtId="3" fontId="31" fillId="0" borderId="0" xfId="0" applyNumberFormat="1" applyFont="1" applyFill="1" applyAlignment="1">
      <alignment horizontal="right"/>
    </xf>
    <xf numFmtId="3" fontId="43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 horizontal="center"/>
    </xf>
    <xf numFmtId="3" fontId="35" fillId="22" borderId="12" xfId="0" applyNumberFormat="1" applyFont="1" applyFill="1" applyBorder="1" applyAlignment="1">
      <alignment horizontal="right"/>
    </xf>
    <xf numFmtId="3" fontId="36" fillId="23" borderId="0" xfId="0" applyNumberFormat="1" applyFont="1" applyFill="1" applyBorder="1" applyAlignment="1" quotePrefix="1">
      <alignment horizontal="center" vertical="center"/>
    </xf>
    <xf numFmtId="3" fontId="34" fillId="23" borderId="0" xfId="0" applyNumberFormat="1" applyFont="1" applyFill="1" applyBorder="1" applyAlignment="1">
      <alignment horizontal="center" vertical="center"/>
    </xf>
    <xf numFmtId="3" fontId="37" fillId="23" borderId="0" xfId="0" applyNumberFormat="1" applyFont="1" applyFill="1" applyBorder="1" applyAlignment="1">
      <alignment horizontal="right" vertical="center"/>
    </xf>
    <xf numFmtId="3" fontId="36" fillId="23" borderId="0" xfId="0" applyNumberFormat="1" applyFont="1" applyFill="1" applyAlignment="1">
      <alignment/>
    </xf>
    <xf numFmtId="3" fontId="14" fillId="23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left" vertical="center"/>
    </xf>
    <xf numFmtId="0" fontId="25" fillId="0" borderId="49" xfId="0" applyFont="1" applyFill="1" applyBorder="1" applyAlignment="1" quotePrefix="1">
      <alignment horizontal="left" wrapText="1"/>
    </xf>
    <xf numFmtId="0" fontId="25" fillId="0" borderId="10" xfId="0" applyFont="1" applyFill="1" applyBorder="1" applyAlignment="1" quotePrefix="1">
      <alignment horizontal="left" wrapText="1"/>
    </xf>
    <xf numFmtId="0" fontId="25" fillId="0" borderId="10" xfId="0" applyFont="1" applyFill="1" applyBorder="1" applyAlignment="1" quotePrefix="1">
      <alignment horizontal="center" wrapText="1"/>
    </xf>
    <xf numFmtId="0" fontId="25" fillId="0" borderId="10" xfId="0" applyNumberFormat="1" applyFont="1" applyFill="1" applyBorder="1" applyAlignment="1" applyProtection="1" quotePrefix="1">
      <alignment horizontal="left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4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/>
      <protection/>
    </xf>
    <xf numFmtId="3" fontId="25" fillId="0" borderId="12" xfId="0" applyNumberFormat="1" applyFont="1" applyFill="1" applyBorder="1" applyAlignment="1" applyProtection="1">
      <alignment horizontal="right" wrapText="1"/>
      <protection/>
    </xf>
    <xf numFmtId="3" fontId="25" fillId="0" borderId="12" xfId="0" applyNumberFormat="1" applyFont="1" applyFill="1" applyBorder="1" applyAlignment="1">
      <alignment horizontal="right"/>
    </xf>
    <xf numFmtId="0" fontId="28" fillId="0" borderId="49" xfId="0" applyFont="1" applyFill="1" applyBorder="1" applyAlignment="1">
      <alignment horizontal="left"/>
    </xf>
    <xf numFmtId="3" fontId="16" fillId="0" borderId="0" xfId="0" applyNumberFormat="1" applyFont="1" applyFill="1" applyBorder="1" applyAlignment="1" applyProtection="1">
      <alignment horizontal="center"/>
      <protection/>
    </xf>
    <xf numFmtId="3" fontId="25" fillId="0" borderId="49" xfId="0" applyNumberFormat="1" applyFont="1" applyFill="1" applyBorder="1" applyAlignment="1" applyProtection="1">
      <alignment horizontal="right" wrapText="1"/>
      <protection/>
    </xf>
    <xf numFmtId="3" fontId="18" fillId="0" borderId="49" xfId="0" applyNumberFormat="1" applyFont="1" applyFill="1" applyBorder="1" applyAlignment="1" applyProtection="1">
      <alignment horizontal="center" wrapText="1"/>
      <protection/>
    </xf>
    <xf numFmtId="3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wrapText="1"/>
      <protection/>
    </xf>
    <xf numFmtId="3" fontId="25" fillId="0" borderId="49" xfId="0" applyNumberFormat="1" applyFont="1" applyFill="1" applyBorder="1" applyAlignment="1">
      <alignment horizontal="right"/>
    </xf>
    <xf numFmtId="0" fontId="25" fillId="0" borderId="10" xfId="0" applyFont="1" applyFill="1" applyBorder="1" applyAlignment="1" quotePrefix="1">
      <alignment horizontal="left"/>
    </xf>
    <xf numFmtId="0" fontId="25" fillId="0" borderId="10" xfId="0" applyNumberFormat="1" applyFont="1" applyFill="1" applyBorder="1" applyAlignment="1" applyProtection="1">
      <alignment wrapText="1"/>
      <protection/>
    </xf>
    <xf numFmtId="0" fontId="27" fillId="0" borderId="10" xfId="0" applyNumberFormat="1" applyFont="1" applyFill="1" applyBorder="1" applyAlignment="1" applyProtection="1">
      <alignment horizontal="center" wrapText="1"/>
      <protection/>
    </xf>
    <xf numFmtId="0" fontId="26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 quotePrefix="1">
      <alignment horizontal="left" wrapText="1"/>
      <protection/>
    </xf>
    <xf numFmtId="3" fontId="59" fillId="0" borderId="0" xfId="0" applyNumberFormat="1" applyFont="1" applyFill="1" applyAlignment="1">
      <alignment/>
    </xf>
    <xf numFmtId="3" fontId="5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8" fillId="0" borderId="49" xfId="0" applyNumberFormat="1" applyFont="1" applyFill="1" applyBorder="1" applyAlignment="1" applyProtection="1" quotePrefix="1">
      <alignment horizontal="left" wrapText="1"/>
      <protection/>
    </xf>
    <xf numFmtId="0" fontId="29" fillId="0" borderId="10" xfId="0" applyNumberFormat="1" applyFont="1" applyFill="1" applyBorder="1" applyAlignment="1" applyProtection="1">
      <alignment wrapText="1"/>
      <protection/>
    </xf>
    <xf numFmtId="0" fontId="28" fillId="0" borderId="49" xfId="0" applyNumberFormat="1" applyFont="1" applyFill="1" applyBorder="1" applyAlignment="1" applyProtection="1">
      <alignment horizontal="left" wrapText="1"/>
      <protection/>
    </xf>
    <xf numFmtId="0" fontId="25" fillId="0" borderId="49" xfId="0" applyNumberFormat="1" applyFont="1" applyFill="1" applyBorder="1" applyAlignment="1" applyProtection="1">
      <alignment horizontal="left" wrapText="1"/>
      <protection/>
    </xf>
    <xf numFmtId="0" fontId="27" fillId="0" borderId="10" xfId="0" applyNumberFormat="1" applyFont="1" applyFill="1" applyBorder="1" applyAlignment="1" applyProtection="1">
      <alignment wrapText="1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0" borderId="49" xfId="0" applyFont="1" applyFill="1" applyBorder="1" applyAlignment="1">
      <alignment horizontal="left" wrapText="1"/>
    </xf>
    <xf numFmtId="0" fontId="25" fillId="0" borderId="10" xfId="0" applyFont="1" applyFill="1" applyBorder="1" applyAlignment="1" quotePrefix="1">
      <alignment horizontal="left" wrapText="1"/>
    </xf>
    <xf numFmtId="0" fontId="25" fillId="0" borderId="29" xfId="0" applyFont="1" applyFill="1" applyBorder="1" applyAlignment="1" quotePrefix="1">
      <alignment horizontal="left" wrapText="1"/>
    </xf>
    <xf numFmtId="0" fontId="14" fillId="0" borderId="1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28" fillId="0" borderId="49" xfId="0" applyFont="1" applyFill="1" applyBorder="1" applyAlignment="1" quotePrefix="1">
      <alignment horizontal="left"/>
    </xf>
    <xf numFmtId="0" fontId="14" fillId="0" borderId="10" xfId="0" applyNumberFormat="1" applyFont="1" applyFill="1" applyBorder="1" applyAlignment="1" applyProtection="1">
      <alignment wrapText="1"/>
      <protection/>
    </xf>
    <xf numFmtId="0" fontId="19" fillId="0" borderId="23" xfId="0" applyNumberFormat="1" applyFont="1" applyFill="1" applyBorder="1" applyAlignment="1" applyProtection="1" quotePrefix="1">
      <alignment horizontal="left" wrapText="1"/>
      <protection/>
    </xf>
    <xf numFmtId="0" fontId="26" fillId="0" borderId="23" xfId="0" applyNumberFormat="1" applyFont="1" applyFill="1" applyBorder="1" applyAlignment="1" applyProtection="1">
      <alignment wrapText="1"/>
      <protection/>
    </xf>
    <xf numFmtId="0" fontId="28" fillId="0" borderId="34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3" fontId="15" fillId="0" borderId="34" xfId="0" applyNumberFormat="1" applyFont="1" applyFill="1" applyBorder="1" applyAlignment="1">
      <alignment horizontal="center"/>
    </xf>
    <xf numFmtId="3" fontId="15" fillId="0" borderId="50" xfId="0" applyNumberFormat="1" applyFont="1" applyFill="1" applyBorder="1" applyAlignment="1">
      <alignment horizontal="center"/>
    </xf>
    <xf numFmtId="3" fontId="15" fillId="0" borderId="51" xfId="0" applyNumberFormat="1" applyFont="1" applyFill="1" applyBorder="1" applyAlignment="1">
      <alignment horizontal="center"/>
    </xf>
    <xf numFmtId="3" fontId="15" fillId="0" borderId="39" xfId="0" applyNumberFormat="1" applyFont="1" applyFill="1" applyBorder="1" applyAlignment="1">
      <alignment horizontal="center"/>
    </xf>
    <xf numFmtId="3" fontId="15" fillId="0" borderId="52" xfId="0" applyNumberFormat="1" applyFont="1" applyFill="1" applyBorder="1" applyAlignment="1">
      <alignment horizontal="center"/>
    </xf>
    <xf numFmtId="3" fontId="15" fillId="0" borderId="53" xfId="0" applyNumberFormat="1" applyFont="1" applyFill="1" applyBorder="1" applyAlignment="1">
      <alignment horizontal="center"/>
    </xf>
    <xf numFmtId="0" fontId="50" fillId="0" borderId="23" xfId="0" applyFont="1" applyFill="1" applyBorder="1" applyAlignment="1">
      <alignment horizontal="left" vertical="center" wrapText="1"/>
    </xf>
    <xf numFmtId="3" fontId="28" fillId="0" borderId="23" xfId="0" applyNumberFormat="1" applyFont="1" applyFill="1" applyBorder="1" applyAlignment="1">
      <alignment horizontal="center" wrapText="1"/>
    </xf>
    <xf numFmtId="3" fontId="28" fillId="0" borderId="23" xfId="0" applyNumberFormat="1" applyFont="1" applyFill="1" applyBorder="1" applyAlignment="1" quotePrefix="1">
      <alignment horizontal="center" wrapText="1"/>
    </xf>
    <xf numFmtId="3" fontId="34" fillId="0" borderId="12" xfId="0" applyNumberFormat="1" applyFont="1" applyFill="1" applyBorder="1" applyAlignment="1" quotePrefix="1">
      <alignment horizontal="center" vertical="center"/>
    </xf>
    <xf numFmtId="3" fontId="36" fillId="0" borderId="12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36" fillId="0" borderId="49" xfId="0" applyNumberFormat="1" applyFont="1" applyFill="1" applyBorder="1" applyAlignment="1" quotePrefix="1">
      <alignment horizontal="center" vertical="center"/>
    </xf>
    <xf numFmtId="3" fontId="36" fillId="0" borderId="29" xfId="0" applyNumberFormat="1" applyFont="1" applyFill="1" applyBorder="1" applyAlignment="1" quotePrefix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3" fontId="28" fillId="0" borderId="23" xfId="0" applyNumberFormat="1" applyFont="1" applyFill="1" applyBorder="1" applyAlignment="1">
      <alignment horizontal="left" wrapText="1"/>
    </xf>
    <xf numFmtId="3" fontId="28" fillId="0" borderId="23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TABLICA PRM-IZ - 2005 -2007 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7240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467350"/>
          <a:ext cx="17240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4673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9525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915400"/>
          <a:ext cx="17240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915400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2">
      <selection activeCell="F12" sqref="F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6" customWidth="1"/>
    <col min="5" max="5" width="44.7109375" style="1" customWidth="1"/>
    <col min="6" max="6" width="20.28125" style="1" customWidth="1"/>
    <col min="7" max="7" width="17.28125" style="1" customWidth="1"/>
    <col min="8" max="8" width="16.7109375" style="1" customWidth="1"/>
    <col min="9" max="9" width="11.57421875" style="1" bestFit="1" customWidth="1"/>
    <col min="10" max="10" width="11.57421875" style="1" customWidth="1"/>
    <col min="11" max="11" width="13.8515625" style="29" bestFit="1" customWidth="1"/>
    <col min="12" max="12" width="19.421875" style="14" bestFit="1" customWidth="1"/>
    <col min="13" max="13" width="15.28125" style="14" customWidth="1"/>
    <col min="14" max="15" width="14.00390625" style="14" customWidth="1"/>
    <col min="16" max="16" width="17.00390625" style="14" customWidth="1"/>
    <col min="17" max="17" width="11.421875" style="29" customWidth="1"/>
    <col min="18" max="16384" width="11.421875" style="1" customWidth="1"/>
  </cols>
  <sheetData>
    <row r="1" spans="1:8" ht="48" customHeight="1">
      <c r="A1" s="303" t="s">
        <v>185</v>
      </c>
      <c r="B1" s="303"/>
      <c r="C1" s="303"/>
      <c r="D1" s="303"/>
      <c r="E1" s="303"/>
      <c r="F1" s="303"/>
      <c r="G1" s="303"/>
      <c r="H1" s="303"/>
    </row>
    <row r="2" spans="1:17" s="23" customFormat="1" ht="26.25" customHeight="1">
      <c r="A2" s="303" t="s">
        <v>195</v>
      </c>
      <c r="B2" s="303"/>
      <c r="C2" s="303"/>
      <c r="D2" s="303"/>
      <c r="E2" s="303"/>
      <c r="F2" s="303"/>
      <c r="G2" s="317"/>
      <c r="H2" s="317"/>
      <c r="K2" s="30"/>
      <c r="L2" s="33"/>
      <c r="M2" s="33"/>
      <c r="N2" s="33"/>
      <c r="O2" s="33"/>
      <c r="P2" s="33"/>
      <c r="Q2" s="30"/>
    </row>
    <row r="3" spans="1:8" ht="25.5" customHeight="1">
      <c r="A3" s="303"/>
      <c r="B3" s="303"/>
      <c r="C3" s="303"/>
      <c r="D3" s="303"/>
      <c r="E3" s="303"/>
      <c r="F3" s="303"/>
      <c r="G3" s="303"/>
      <c r="H3" s="305"/>
    </row>
    <row r="4" spans="1:5" ht="9" customHeight="1">
      <c r="A4" s="24"/>
      <c r="B4" s="25"/>
      <c r="C4" s="25"/>
      <c r="D4" s="25"/>
      <c r="E4" s="25"/>
    </row>
    <row r="5" spans="1:10" ht="27.75" customHeight="1">
      <c r="A5" s="279"/>
      <c r="B5" s="280"/>
      <c r="C5" s="280"/>
      <c r="D5" s="281"/>
      <c r="E5" s="282"/>
      <c r="F5" s="283" t="s">
        <v>186</v>
      </c>
      <c r="G5" s="283" t="s">
        <v>187</v>
      </c>
      <c r="H5" s="124" t="s">
        <v>188</v>
      </c>
      <c r="I5" s="284"/>
      <c r="J5" s="285"/>
    </row>
    <row r="6" spans="1:10" ht="27.75" customHeight="1">
      <c r="A6" s="308" t="s">
        <v>29</v>
      </c>
      <c r="B6" s="307"/>
      <c r="C6" s="307"/>
      <c r="D6" s="307"/>
      <c r="E6" s="316"/>
      <c r="F6" s="287">
        <f>F7+F8</f>
        <v>482628975</v>
      </c>
      <c r="G6" s="287">
        <f>G7+G8</f>
        <v>368882103</v>
      </c>
      <c r="H6" s="287">
        <f>H7+H8</f>
        <v>370847103</v>
      </c>
      <c r="I6" s="285"/>
      <c r="J6" s="285"/>
    </row>
    <row r="7" spans="1:8" ht="22.5" customHeight="1">
      <c r="A7" s="308" t="s">
        <v>0</v>
      </c>
      <c r="B7" s="307"/>
      <c r="C7" s="307"/>
      <c r="D7" s="307"/>
      <c r="E7" s="316"/>
      <c r="F7" s="288">
        <f>482628975-12000</f>
        <v>482616975</v>
      </c>
      <c r="G7" s="288">
        <f>368882103-12000</f>
        <v>368870103</v>
      </c>
      <c r="H7" s="288">
        <f>370847103-12000</f>
        <v>370835103</v>
      </c>
    </row>
    <row r="8" spans="1:8" ht="22.5" customHeight="1">
      <c r="A8" s="318" t="s">
        <v>33</v>
      </c>
      <c r="B8" s="316"/>
      <c r="C8" s="316"/>
      <c r="D8" s="316"/>
      <c r="E8" s="316"/>
      <c r="F8" s="288">
        <v>12000</v>
      </c>
      <c r="G8" s="288">
        <v>12000</v>
      </c>
      <c r="H8" s="288">
        <v>12000</v>
      </c>
    </row>
    <row r="9" spans="1:8" ht="22.5" customHeight="1">
      <c r="A9" s="289" t="s">
        <v>30</v>
      </c>
      <c r="B9" s="286"/>
      <c r="C9" s="286"/>
      <c r="D9" s="286"/>
      <c r="E9" s="286"/>
      <c r="F9" s="288">
        <f>F10+F11</f>
        <v>399172538</v>
      </c>
      <c r="G9" s="288">
        <f>G10+G11</f>
        <v>285425666</v>
      </c>
      <c r="H9" s="288">
        <f>H10+H11</f>
        <v>286390666</v>
      </c>
    </row>
    <row r="10" spans="1:9" ht="22.5" customHeight="1">
      <c r="A10" s="306" t="s">
        <v>1</v>
      </c>
      <c r="B10" s="307"/>
      <c r="C10" s="307"/>
      <c r="D10" s="307"/>
      <c r="E10" s="319"/>
      <c r="F10" s="287">
        <f>283834483+395000+2928428</f>
        <v>287157911</v>
      </c>
      <c r="G10" s="287">
        <f>280393000+395000+4637666-300000</f>
        <v>285125666</v>
      </c>
      <c r="H10" s="287">
        <f>281358000+395000+4637666-300000</f>
        <v>286090666</v>
      </c>
      <c r="I10" s="14"/>
    </row>
    <row r="11" spans="1:10" ht="22.5" customHeight="1">
      <c r="A11" s="318" t="s">
        <v>2</v>
      </c>
      <c r="B11" s="316"/>
      <c r="C11" s="316"/>
      <c r="D11" s="316"/>
      <c r="E11" s="316"/>
      <c r="F11" s="287">
        <f>460024+2009238+109545365</f>
        <v>112014627</v>
      </c>
      <c r="G11" s="287">
        <v>300000</v>
      </c>
      <c r="H11" s="287">
        <v>300000</v>
      </c>
      <c r="J11" s="14"/>
    </row>
    <row r="12" spans="1:9" ht="22.5" customHeight="1">
      <c r="A12" s="306" t="s">
        <v>3</v>
      </c>
      <c r="B12" s="307"/>
      <c r="C12" s="307"/>
      <c r="D12" s="307"/>
      <c r="E12" s="307"/>
      <c r="F12" s="287">
        <f>+F6-F9</f>
        <v>83456437</v>
      </c>
      <c r="G12" s="287">
        <f>+G6-G9</f>
        <v>83456437</v>
      </c>
      <c r="H12" s="287">
        <f>+H6-H9</f>
        <v>84456437</v>
      </c>
      <c r="I12" s="1" t="s">
        <v>174</v>
      </c>
    </row>
    <row r="13" spans="1:12" ht="25.5" customHeight="1">
      <c r="A13" s="303"/>
      <c r="B13" s="304"/>
      <c r="C13" s="304"/>
      <c r="D13" s="304"/>
      <c r="E13" s="304"/>
      <c r="F13" s="305"/>
      <c r="G13" s="305"/>
      <c r="H13" s="305"/>
      <c r="L13" s="290"/>
    </row>
    <row r="14" spans="1:10" ht="27.75" customHeight="1">
      <c r="A14" s="279"/>
      <c r="B14" s="280"/>
      <c r="C14" s="280"/>
      <c r="D14" s="281"/>
      <c r="E14" s="282"/>
      <c r="F14" s="283" t="s">
        <v>186</v>
      </c>
      <c r="G14" s="283" t="s">
        <v>187</v>
      </c>
      <c r="H14" s="124" t="s">
        <v>188</v>
      </c>
      <c r="I14" s="284"/>
      <c r="J14" s="285"/>
    </row>
    <row r="15" spans="1:8" ht="27.75" customHeight="1">
      <c r="A15" s="313" t="s">
        <v>167</v>
      </c>
      <c r="B15" s="314"/>
      <c r="C15" s="314"/>
      <c r="D15" s="314"/>
      <c r="E15" s="315"/>
      <c r="F15" s="291">
        <v>-238000000</v>
      </c>
      <c r="G15" s="292"/>
      <c r="H15" s="293"/>
    </row>
    <row r="16" spans="1:10" ht="33" customHeight="1">
      <c r="A16" s="309" t="s">
        <v>168</v>
      </c>
      <c r="B16" s="310"/>
      <c r="C16" s="310"/>
      <c r="D16" s="310"/>
      <c r="E16" s="311"/>
      <c r="F16" s="295">
        <v>-79000000</v>
      </c>
      <c r="G16" s="295">
        <v>-79000000</v>
      </c>
      <c r="H16" s="288">
        <v>-80000000</v>
      </c>
      <c r="I16" s="14"/>
      <c r="J16" s="14"/>
    </row>
    <row r="17" spans="1:17" s="18" customFormat="1" ht="25.5" customHeight="1">
      <c r="A17" s="312"/>
      <c r="B17" s="304"/>
      <c r="C17" s="304"/>
      <c r="D17" s="304"/>
      <c r="E17" s="304"/>
      <c r="F17" s="305"/>
      <c r="G17" s="305"/>
      <c r="H17" s="305"/>
      <c r="K17" s="31"/>
      <c r="L17" s="14"/>
      <c r="M17" s="32"/>
      <c r="N17" s="32"/>
      <c r="O17" s="32"/>
      <c r="P17" s="32"/>
      <c r="Q17" s="31"/>
    </row>
    <row r="18" spans="1:10" ht="27.75" customHeight="1">
      <c r="A18" s="279"/>
      <c r="B18" s="280"/>
      <c r="C18" s="280"/>
      <c r="D18" s="281"/>
      <c r="E18" s="282"/>
      <c r="F18" s="283" t="s">
        <v>186</v>
      </c>
      <c r="G18" s="283" t="s">
        <v>187</v>
      </c>
      <c r="H18" s="124" t="s">
        <v>188</v>
      </c>
      <c r="I18" s="284"/>
      <c r="J18" s="285"/>
    </row>
    <row r="19" spans="1:17" s="18" customFormat="1" ht="22.5" customHeight="1">
      <c r="A19" s="308" t="s">
        <v>4</v>
      </c>
      <c r="B19" s="307"/>
      <c r="C19" s="307"/>
      <c r="D19" s="307"/>
      <c r="E19" s="307"/>
      <c r="F19" s="288">
        <v>0</v>
      </c>
      <c r="G19" s="288">
        <v>0</v>
      </c>
      <c r="H19" s="288">
        <v>0</v>
      </c>
      <c r="K19" s="31"/>
      <c r="L19" s="34"/>
      <c r="M19" s="34"/>
      <c r="N19" s="34"/>
      <c r="O19" s="34"/>
      <c r="P19" s="34"/>
      <c r="Q19" s="31"/>
    </row>
    <row r="20" spans="1:17" s="18" customFormat="1" ht="36" customHeight="1">
      <c r="A20" s="308" t="s">
        <v>5</v>
      </c>
      <c r="B20" s="307"/>
      <c r="C20" s="307"/>
      <c r="D20" s="307"/>
      <c r="E20" s="307"/>
      <c r="F20" s="288">
        <v>4456437</v>
      </c>
      <c r="G20" s="288">
        <v>4456437</v>
      </c>
      <c r="H20" s="288">
        <v>4456437</v>
      </c>
      <c r="K20" s="31"/>
      <c r="L20" s="34"/>
      <c r="M20" s="34"/>
      <c r="N20" s="34"/>
      <c r="O20" s="34"/>
      <c r="P20" s="34"/>
      <c r="Q20" s="31"/>
    </row>
    <row r="21" spans="1:17" s="18" customFormat="1" ht="22.5" customHeight="1">
      <c r="A21" s="306" t="s">
        <v>6</v>
      </c>
      <c r="B21" s="307"/>
      <c r="C21" s="307"/>
      <c r="D21" s="307"/>
      <c r="E21" s="307"/>
      <c r="F21" s="288">
        <f>F19-F20</f>
        <v>-4456437</v>
      </c>
      <c r="G21" s="288">
        <f>G19-G20</f>
        <v>-4456437</v>
      </c>
      <c r="H21" s="288">
        <f>H19-H20</f>
        <v>-4456437</v>
      </c>
      <c r="K21" s="31"/>
      <c r="L21" s="32"/>
      <c r="M21" s="32"/>
      <c r="N21" s="32"/>
      <c r="O21" s="32"/>
      <c r="P21" s="32"/>
      <c r="Q21" s="31"/>
    </row>
    <row r="22" spans="1:17" s="18" customFormat="1" ht="15" customHeight="1">
      <c r="A22" s="296"/>
      <c r="B22" s="297"/>
      <c r="C22" s="294"/>
      <c r="D22" s="298"/>
      <c r="E22" s="297"/>
      <c r="F22" s="299"/>
      <c r="G22" s="299"/>
      <c r="H22" s="299"/>
      <c r="K22" s="31"/>
      <c r="L22" s="35"/>
      <c r="M22" s="35"/>
      <c r="N22" s="35"/>
      <c r="O22" s="35"/>
      <c r="P22" s="36"/>
      <c r="Q22" s="31"/>
    </row>
    <row r="23" spans="1:17" s="18" customFormat="1" ht="22.5" customHeight="1">
      <c r="A23" s="306" t="s">
        <v>7</v>
      </c>
      <c r="B23" s="307"/>
      <c r="C23" s="307"/>
      <c r="D23" s="307"/>
      <c r="E23" s="307"/>
      <c r="F23" s="288">
        <f>SUM(F12,F16,F21)</f>
        <v>0</v>
      </c>
      <c r="G23" s="288">
        <f>SUM(G12,G16,G21)</f>
        <v>0</v>
      </c>
      <c r="H23" s="288">
        <f>SUM(H12,H16,H21)</f>
        <v>0</v>
      </c>
      <c r="K23" s="31"/>
      <c r="L23" s="34"/>
      <c r="M23" s="34"/>
      <c r="N23" s="34"/>
      <c r="O23" s="34"/>
      <c r="P23" s="34"/>
      <c r="Q23" s="31"/>
    </row>
    <row r="24" spans="1:17" s="18" customFormat="1" ht="18" customHeight="1">
      <c r="A24" s="300"/>
      <c r="B24" s="25"/>
      <c r="C24" s="25"/>
      <c r="D24" s="25"/>
      <c r="E24" s="25"/>
      <c r="K24" s="31"/>
      <c r="L24" s="34"/>
      <c r="M24" s="34"/>
      <c r="N24" s="34"/>
      <c r="O24" s="34"/>
      <c r="P24" s="34"/>
      <c r="Q24" s="31"/>
    </row>
    <row r="25" spans="11:16" ht="18">
      <c r="K25" s="31"/>
      <c r="L25" s="32"/>
      <c r="M25" s="32"/>
      <c r="N25" s="32"/>
      <c r="O25" s="32"/>
      <c r="P25" s="32"/>
    </row>
    <row r="26" spans="11:16" ht="18">
      <c r="K26" s="31"/>
      <c r="L26" s="35"/>
      <c r="M26" s="35"/>
      <c r="N26" s="35"/>
      <c r="O26" s="35"/>
      <c r="P26" s="36"/>
    </row>
    <row r="27" spans="11:16" ht="18">
      <c r="K27" s="31"/>
      <c r="L27" s="34"/>
      <c r="M27" s="34"/>
      <c r="N27" s="34"/>
      <c r="O27" s="34"/>
      <c r="P27" s="34"/>
    </row>
    <row r="28" spans="11:16" ht="18">
      <c r="K28" s="31"/>
      <c r="L28" s="34"/>
      <c r="M28" s="34"/>
      <c r="N28" s="34"/>
      <c r="O28" s="34"/>
      <c r="P28" s="34"/>
    </row>
    <row r="29" spans="11:16" ht="18">
      <c r="K29" s="31"/>
      <c r="L29" s="32"/>
      <c r="M29" s="32"/>
      <c r="N29" s="32"/>
      <c r="O29" s="32"/>
      <c r="P29" s="32"/>
    </row>
    <row r="30" spans="11:16" ht="18">
      <c r="K30" s="31"/>
      <c r="L30" s="35"/>
      <c r="M30" s="35"/>
      <c r="N30" s="35"/>
      <c r="O30" s="35"/>
      <c r="P30" s="36"/>
    </row>
    <row r="31" spans="11:16" ht="18">
      <c r="K31" s="31"/>
      <c r="L31" s="34"/>
      <c r="M31" s="34"/>
      <c r="N31" s="34"/>
      <c r="O31" s="34"/>
      <c r="P31" s="34"/>
    </row>
    <row r="32" spans="11:16" ht="18">
      <c r="K32" s="31"/>
      <c r="L32" s="34"/>
      <c r="M32" s="34"/>
      <c r="N32" s="34"/>
      <c r="O32" s="34"/>
      <c r="P32" s="34"/>
    </row>
  </sheetData>
  <sheetProtection/>
  <mergeCells count="17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3:E23"/>
    <mergeCell ref="A19:E19"/>
    <mergeCell ref="A20:E20"/>
    <mergeCell ref="A21:E21"/>
    <mergeCell ref="A16:E16"/>
    <mergeCell ref="A17:H17"/>
    <mergeCell ref="A15:E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26.140625" style="6" customWidth="1"/>
    <col min="2" max="3" width="17.57421875" style="6" customWidth="1"/>
    <col min="4" max="4" width="17.57421875" style="19" customWidth="1"/>
    <col min="5" max="7" width="17.57421875" style="1" customWidth="1"/>
    <col min="8" max="8" width="13.28125" style="1" customWidth="1"/>
    <col min="9" max="9" width="11.421875" style="1" customWidth="1"/>
    <col min="10" max="11" width="12.7109375" style="14" customWidth="1"/>
    <col min="12" max="12" width="21.57421875" style="14" customWidth="1"/>
    <col min="13" max="13" width="12.7109375" style="14" customWidth="1"/>
    <col min="14" max="14" width="11.421875" style="14" customWidth="1"/>
    <col min="15" max="16384" width="11.421875" style="1" customWidth="1"/>
  </cols>
  <sheetData>
    <row r="1" spans="1:8" ht="24" customHeight="1">
      <c r="A1" s="303" t="s">
        <v>192</v>
      </c>
      <c r="B1" s="303"/>
      <c r="C1" s="303"/>
      <c r="D1" s="303"/>
      <c r="E1" s="303"/>
      <c r="F1" s="303"/>
      <c r="G1" s="303"/>
      <c r="H1" s="303"/>
    </row>
    <row r="2" spans="1:14" s="39" customFormat="1" ht="13.5" thickBot="1">
      <c r="A2" s="41"/>
      <c r="H2" s="40" t="s">
        <v>8</v>
      </c>
      <c r="J2" s="38"/>
      <c r="K2" s="38"/>
      <c r="L2" s="38"/>
      <c r="M2" s="38"/>
      <c r="N2" s="38"/>
    </row>
    <row r="3" spans="1:14" s="39" customFormat="1" ht="16.5" thickBot="1">
      <c r="A3" s="27" t="s">
        <v>9</v>
      </c>
      <c r="B3" s="322" t="s">
        <v>156</v>
      </c>
      <c r="C3" s="323"/>
      <c r="D3" s="323"/>
      <c r="E3" s="323"/>
      <c r="F3" s="323"/>
      <c r="G3" s="323"/>
      <c r="H3" s="324"/>
      <c r="J3" s="38"/>
      <c r="K3" s="38"/>
      <c r="L3" s="38"/>
      <c r="M3" s="38"/>
      <c r="N3" s="38"/>
    </row>
    <row r="4" spans="1:14" s="39" customFormat="1" ht="89.25">
      <c r="A4" s="37" t="s">
        <v>10</v>
      </c>
      <c r="B4" s="42" t="s">
        <v>35</v>
      </c>
      <c r="C4" s="43" t="s">
        <v>11</v>
      </c>
      <c r="D4" s="43" t="s">
        <v>141</v>
      </c>
      <c r="E4" s="43" t="s">
        <v>12</v>
      </c>
      <c r="F4" s="43" t="s">
        <v>13</v>
      </c>
      <c r="G4" s="43" t="s">
        <v>34</v>
      </c>
      <c r="H4" s="44" t="s">
        <v>15</v>
      </c>
      <c r="J4" s="38"/>
      <c r="K4" s="38"/>
      <c r="L4" s="38"/>
      <c r="M4" s="38"/>
      <c r="N4" s="38"/>
    </row>
    <row r="5" spans="1:14" s="39" customFormat="1" ht="14.25" customHeight="1">
      <c r="A5" s="45" t="s">
        <v>140</v>
      </c>
      <c r="B5" s="46"/>
      <c r="C5" s="46"/>
      <c r="D5" s="46"/>
      <c r="E5" s="46">
        <v>0</v>
      </c>
      <c r="F5" s="46"/>
      <c r="G5" s="46"/>
      <c r="H5" s="46"/>
      <c r="J5" s="38"/>
      <c r="K5" s="38"/>
      <c r="L5" s="38"/>
      <c r="M5" s="38"/>
      <c r="N5" s="38"/>
    </row>
    <row r="6" spans="1:14" s="39" customFormat="1" ht="12.75">
      <c r="A6" s="45" t="s">
        <v>103</v>
      </c>
      <c r="B6" s="46"/>
      <c r="C6" s="28"/>
      <c r="D6" s="47"/>
      <c r="E6" s="46">
        <v>240174433</v>
      </c>
      <c r="F6" s="46"/>
      <c r="G6" s="46"/>
      <c r="H6" s="46"/>
      <c r="J6" s="38"/>
      <c r="K6" s="38"/>
      <c r="L6" s="38"/>
      <c r="M6" s="38"/>
      <c r="N6" s="38"/>
    </row>
    <row r="7" spans="1:14" s="39" customFormat="1" ht="27" customHeight="1">
      <c r="A7" s="48" t="s">
        <v>113</v>
      </c>
      <c r="B7" s="28"/>
      <c r="C7" s="28"/>
      <c r="D7" s="28"/>
      <c r="E7" s="28">
        <v>0</v>
      </c>
      <c r="F7" s="28"/>
      <c r="G7" s="28"/>
      <c r="H7" s="49"/>
      <c r="J7" s="38"/>
      <c r="K7" s="38"/>
      <c r="L7" s="38"/>
      <c r="M7" s="38"/>
      <c r="N7" s="38"/>
    </row>
    <row r="8" spans="1:14" s="39" customFormat="1" ht="12" customHeight="1">
      <c r="A8" s="48" t="s">
        <v>105</v>
      </c>
      <c r="B8" s="28"/>
      <c r="C8" s="28">
        <v>87000</v>
      </c>
      <c r="D8" s="28"/>
      <c r="E8" s="28"/>
      <c r="F8" s="28"/>
      <c r="G8" s="28"/>
      <c r="H8" s="49"/>
      <c r="J8" s="38"/>
      <c r="K8" s="38"/>
      <c r="L8" s="38"/>
      <c r="M8" s="38"/>
      <c r="N8" s="38"/>
    </row>
    <row r="9" spans="1:14" s="39" customFormat="1" ht="12.75">
      <c r="A9" s="48" t="s">
        <v>104</v>
      </c>
      <c r="B9" s="28"/>
      <c r="C9" s="28"/>
      <c r="D9" s="28"/>
      <c r="E9" s="28"/>
      <c r="F9" s="28"/>
      <c r="G9" s="28"/>
      <c r="H9" s="49"/>
      <c r="J9" s="38"/>
      <c r="K9" s="38"/>
      <c r="L9" s="38"/>
      <c r="M9" s="38"/>
      <c r="N9" s="38"/>
    </row>
    <row r="10" spans="1:14" s="39" customFormat="1" ht="12.75">
      <c r="A10" s="48" t="s">
        <v>106</v>
      </c>
      <c r="B10" s="28"/>
      <c r="C10" s="28"/>
      <c r="D10" s="28">
        <v>21155000</v>
      </c>
      <c r="E10" s="28"/>
      <c r="F10" s="28"/>
      <c r="G10" s="28">
        <v>0</v>
      </c>
      <c r="H10" s="49"/>
      <c r="J10" s="38"/>
      <c r="K10" s="38"/>
      <c r="L10" s="38"/>
      <c r="M10" s="38"/>
      <c r="N10" s="38"/>
    </row>
    <row r="11" spans="1:14" s="39" customFormat="1" ht="15" customHeight="1">
      <c r="A11" s="48" t="s">
        <v>107</v>
      </c>
      <c r="B11" s="28"/>
      <c r="C11" s="28">
        <v>3000000</v>
      </c>
      <c r="D11" s="28"/>
      <c r="E11" s="28"/>
      <c r="F11" s="28"/>
      <c r="G11" s="28"/>
      <c r="H11" s="49"/>
      <c r="J11" s="38"/>
      <c r="K11" s="38"/>
      <c r="L11" s="38"/>
      <c r="M11" s="38"/>
      <c r="N11" s="38"/>
    </row>
    <row r="12" spans="1:14" s="39" customFormat="1" ht="12.75">
      <c r="A12" s="48" t="s">
        <v>108</v>
      </c>
      <c r="B12" s="28"/>
      <c r="C12" s="28"/>
      <c r="D12" s="28"/>
      <c r="E12" s="28"/>
      <c r="F12" s="28">
        <v>400000</v>
      </c>
      <c r="G12" s="28"/>
      <c r="H12" s="49"/>
      <c r="J12" s="38"/>
      <c r="K12" s="38"/>
      <c r="L12" s="38"/>
      <c r="M12" s="38"/>
      <c r="N12" s="38"/>
    </row>
    <row r="13" spans="1:14" s="39" customFormat="1" ht="12.75">
      <c r="A13" s="48" t="s">
        <v>117</v>
      </c>
      <c r="B13" s="28">
        <f>9394103+395000</f>
        <v>9789103</v>
      </c>
      <c r="C13" s="28"/>
      <c r="D13" s="28"/>
      <c r="E13" s="28"/>
      <c r="F13" s="28"/>
      <c r="G13" s="28"/>
      <c r="H13" s="49"/>
      <c r="J13" s="38"/>
      <c r="K13" s="38"/>
      <c r="L13" s="38"/>
      <c r="M13" s="38"/>
      <c r="N13" s="38"/>
    </row>
    <row r="14" spans="1:14" s="39" customFormat="1" ht="12" customHeight="1">
      <c r="A14" s="48" t="s">
        <v>109</v>
      </c>
      <c r="B14" s="28"/>
      <c r="C14" s="28"/>
      <c r="D14" s="28">
        <v>202658800</v>
      </c>
      <c r="E14" s="28"/>
      <c r="F14" s="28"/>
      <c r="G14" s="28"/>
      <c r="H14" s="49"/>
      <c r="J14" s="38"/>
      <c r="K14" s="38"/>
      <c r="L14" s="38"/>
      <c r="M14" s="38"/>
      <c r="N14" s="38"/>
    </row>
    <row r="15" spans="1:14" s="39" customFormat="1" ht="12.75" customHeight="1">
      <c r="A15" s="48" t="s">
        <v>118</v>
      </c>
      <c r="B15" s="28"/>
      <c r="C15" s="28">
        <v>30000</v>
      </c>
      <c r="D15" s="28"/>
      <c r="E15" s="28"/>
      <c r="F15" s="28"/>
      <c r="G15" s="28"/>
      <c r="H15" s="49"/>
      <c r="J15" s="38"/>
      <c r="K15" s="38"/>
      <c r="L15" s="38"/>
      <c r="M15" s="38"/>
      <c r="N15" s="38"/>
    </row>
    <row r="16" spans="1:14" s="39" customFormat="1" ht="12.75">
      <c r="A16" s="48" t="s">
        <v>119</v>
      </c>
      <c r="B16" s="28"/>
      <c r="C16" s="28">
        <v>650000</v>
      </c>
      <c r="D16" s="28"/>
      <c r="E16" s="28"/>
      <c r="F16" s="28"/>
      <c r="G16" s="28"/>
      <c r="H16" s="49"/>
      <c r="J16" s="38"/>
      <c r="K16" s="38"/>
      <c r="L16" s="38"/>
      <c r="M16" s="38"/>
      <c r="N16" s="38"/>
    </row>
    <row r="17" spans="1:14" s="39" customFormat="1" ht="14.25" customHeight="1">
      <c r="A17" s="48" t="s">
        <v>132</v>
      </c>
      <c r="B17" s="28"/>
      <c r="C17" s="28"/>
      <c r="D17" s="28"/>
      <c r="E17" s="28"/>
      <c r="F17" s="28"/>
      <c r="G17" s="28">
        <v>12000</v>
      </c>
      <c r="H17" s="49"/>
      <c r="L17" s="38"/>
      <c r="M17" s="38"/>
      <c r="N17" s="38"/>
    </row>
    <row r="18" spans="1:14" s="39" customFormat="1" ht="14.25" customHeight="1">
      <c r="A18" s="48" t="s">
        <v>133</v>
      </c>
      <c r="B18" s="28"/>
      <c r="C18" s="28"/>
      <c r="D18" s="28"/>
      <c r="E18" s="28"/>
      <c r="F18" s="28"/>
      <c r="G18" s="28">
        <v>0</v>
      </c>
      <c r="H18" s="49"/>
      <c r="L18" s="38"/>
      <c r="M18" s="38"/>
      <c r="N18" s="38"/>
    </row>
    <row r="19" spans="1:14" s="39" customFormat="1" ht="14.25" customHeight="1">
      <c r="A19" s="48" t="s">
        <v>134</v>
      </c>
      <c r="B19" s="28"/>
      <c r="C19" s="28"/>
      <c r="D19" s="28"/>
      <c r="E19" s="28"/>
      <c r="F19" s="28"/>
      <c r="G19" s="28"/>
      <c r="H19" s="49">
        <v>0</v>
      </c>
      <c r="J19" s="38"/>
      <c r="L19" s="38"/>
      <c r="M19" s="38"/>
      <c r="N19" s="38"/>
    </row>
    <row r="20" spans="1:14" s="39" customFormat="1" ht="12.75">
      <c r="A20" s="48" t="s">
        <v>131</v>
      </c>
      <c r="B20" s="28"/>
      <c r="C20" s="28"/>
      <c r="D20" s="28"/>
      <c r="E20" s="28">
        <f>1012960+375000+995525</f>
        <v>2383485</v>
      </c>
      <c r="F20" s="28">
        <f>1880680+408474</f>
        <v>2289154</v>
      </c>
      <c r="G20" s="28"/>
      <c r="H20" s="49"/>
      <c r="I20" s="38">
        <f>SUM(E20:H20)</f>
        <v>4672639</v>
      </c>
      <c r="J20" s="38"/>
      <c r="L20" s="38"/>
      <c r="M20" s="38"/>
      <c r="N20" s="38"/>
    </row>
    <row r="21" spans="1:14" s="39" customFormat="1" ht="18.75" customHeight="1">
      <c r="A21" s="50" t="s">
        <v>16</v>
      </c>
      <c r="B21" s="51">
        <f aca="true" t="shared" si="0" ref="B21:H21">SUM(B5:B20)</f>
        <v>9789103</v>
      </c>
      <c r="C21" s="51">
        <f t="shared" si="0"/>
        <v>3767000</v>
      </c>
      <c r="D21" s="51">
        <f t="shared" si="0"/>
        <v>223813800</v>
      </c>
      <c r="E21" s="51">
        <f t="shared" si="0"/>
        <v>242557918</v>
      </c>
      <c r="F21" s="51">
        <f t="shared" si="0"/>
        <v>2689154</v>
      </c>
      <c r="G21" s="51">
        <f t="shared" si="0"/>
        <v>12000</v>
      </c>
      <c r="H21" s="51">
        <f t="shared" si="0"/>
        <v>0</v>
      </c>
      <c r="L21" s="38"/>
      <c r="M21" s="38"/>
      <c r="N21" s="38"/>
    </row>
    <row r="22" spans="1:14" s="39" customFormat="1" ht="28.5" customHeight="1" thickBot="1">
      <c r="A22" s="52" t="s">
        <v>125</v>
      </c>
      <c r="B22" s="328">
        <f>B21+C21+D21+E21+F21+G21+H21</f>
        <v>482628975</v>
      </c>
      <c r="C22" s="329"/>
      <c r="D22" s="329"/>
      <c r="E22" s="329"/>
      <c r="F22" s="329"/>
      <c r="G22" s="329"/>
      <c r="H22" s="330"/>
      <c r="J22" s="38"/>
      <c r="K22" s="38"/>
      <c r="L22" s="38"/>
      <c r="M22" s="38"/>
      <c r="N22" s="38"/>
    </row>
    <row r="23" spans="1:8" ht="13.5" thickBot="1">
      <c r="A23" s="3"/>
      <c r="B23" s="3"/>
      <c r="C23" s="3"/>
      <c r="D23" s="4"/>
      <c r="E23" s="5"/>
      <c r="H23" s="40"/>
    </row>
    <row r="24" spans="1:10" ht="24" customHeight="1" thickBot="1">
      <c r="A24" s="27" t="s">
        <v>9</v>
      </c>
      <c r="B24" s="322" t="s">
        <v>172</v>
      </c>
      <c r="C24" s="323"/>
      <c r="D24" s="323"/>
      <c r="E24" s="323"/>
      <c r="F24" s="323"/>
      <c r="G24" s="323"/>
      <c r="H24" s="324"/>
      <c r="J24" s="96"/>
    </row>
    <row r="25" spans="1:8" ht="90" thickBot="1">
      <c r="A25" s="37" t="s">
        <v>10</v>
      </c>
      <c r="B25" s="42" t="s">
        <v>35</v>
      </c>
      <c r="C25" s="43" t="s">
        <v>11</v>
      </c>
      <c r="D25" s="43" t="s">
        <v>141</v>
      </c>
      <c r="E25" s="43" t="s">
        <v>12</v>
      </c>
      <c r="F25" s="43" t="s">
        <v>13</v>
      </c>
      <c r="G25" s="43" t="s">
        <v>34</v>
      </c>
      <c r="H25" s="44" t="s">
        <v>15</v>
      </c>
    </row>
    <row r="26" spans="1:8" ht="12.75">
      <c r="A26" s="97">
        <v>63</v>
      </c>
      <c r="B26" s="98"/>
      <c r="C26" s="99"/>
      <c r="D26" s="100"/>
      <c r="E26" s="101">
        <v>131100200</v>
      </c>
      <c r="F26" s="102"/>
      <c r="G26" s="102"/>
      <c r="H26" s="103"/>
    </row>
    <row r="27" spans="1:8" ht="12.75">
      <c r="A27" s="104">
        <v>64</v>
      </c>
      <c r="B27" s="105"/>
      <c r="C27" s="51">
        <v>87000</v>
      </c>
      <c r="D27" s="51"/>
      <c r="E27" s="51"/>
      <c r="F27" s="51"/>
      <c r="G27" s="51"/>
      <c r="H27" s="106"/>
    </row>
    <row r="28" spans="1:8" ht="12.75">
      <c r="A28" s="104">
        <v>65</v>
      </c>
      <c r="B28" s="105"/>
      <c r="C28" s="51"/>
      <c r="D28" s="51">
        <v>21155000</v>
      </c>
      <c r="E28" s="51"/>
      <c r="F28" s="51"/>
      <c r="G28" s="51"/>
      <c r="H28" s="106"/>
    </row>
    <row r="29" spans="1:8" ht="12.75">
      <c r="A29" s="104">
        <v>66</v>
      </c>
      <c r="B29" s="105"/>
      <c r="C29" s="51">
        <v>3000000</v>
      </c>
      <c r="D29" s="51"/>
      <c r="E29" s="51"/>
      <c r="F29" s="51">
        <v>400000</v>
      </c>
      <c r="G29" s="51"/>
      <c r="H29" s="106"/>
    </row>
    <row r="30" spans="1:8" ht="12.75">
      <c r="A30" s="104">
        <v>67</v>
      </c>
      <c r="B30" s="105">
        <v>9789103</v>
      </c>
      <c r="C30" s="51"/>
      <c r="D30" s="51">
        <v>202658800</v>
      </c>
      <c r="E30" s="51"/>
      <c r="F30" s="51"/>
      <c r="G30" s="51"/>
      <c r="H30" s="106"/>
    </row>
    <row r="31" spans="1:8" ht="12.75">
      <c r="A31" s="104">
        <v>68</v>
      </c>
      <c r="B31" s="105"/>
      <c r="C31" s="51">
        <v>680000</v>
      </c>
      <c r="D31" s="51"/>
      <c r="E31" s="51"/>
      <c r="F31" s="51"/>
      <c r="G31" s="51">
        <v>12000</v>
      </c>
      <c r="H31" s="106"/>
    </row>
    <row r="32" spans="1:8" ht="12.75">
      <c r="A32" s="104">
        <v>72</v>
      </c>
      <c r="B32" s="105"/>
      <c r="C32" s="51"/>
      <c r="D32" s="51"/>
      <c r="E32" s="51"/>
      <c r="F32" s="51"/>
      <c r="G32" s="51"/>
      <c r="H32" s="106"/>
    </row>
    <row r="33" spans="1:8" ht="13.5" thickBot="1">
      <c r="A33" s="107">
        <v>84</v>
      </c>
      <c r="B33" s="108"/>
      <c r="C33" s="109"/>
      <c r="D33" s="109"/>
      <c r="E33" s="109"/>
      <c r="F33" s="109"/>
      <c r="G33" s="109"/>
      <c r="H33" s="110"/>
    </row>
    <row r="34" spans="1:8" ht="13.5" thickBot="1">
      <c r="A34" s="111" t="s">
        <v>16</v>
      </c>
      <c r="B34" s="112">
        <f>SUM(B26:B33)</f>
        <v>9789103</v>
      </c>
      <c r="C34" s="112">
        <f aca="true" t="shared" si="1" ref="C34:H34">SUM(C26:C33)</f>
        <v>3767000</v>
      </c>
      <c r="D34" s="112">
        <f t="shared" si="1"/>
        <v>223813800</v>
      </c>
      <c r="E34" s="112">
        <f t="shared" si="1"/>
        <v>131100200</v>
      </c>
      <c r="F34" s="112">
        <f t="shared" si="1"/>
        <v>400000</v>
      </c>
      <c r="G34" s="112">
        <f t="shared" si="1"/>
        <v>12000</v>
      </c>
      <c r="H34" s="112">
        <f t="shared" si="1"/>
        <v>0</v>
      </c>
    </row>
    <row r="35" spans="1:14" s="39" customFormat="1" ht="28.5" customHeight="1" thickBot="1">
      <c r="A35" s="52" t="s">
        <v>138</v>
      </c>
      <c r="B35" s="328">
        <f>B34+C34+D34+E34+F34+G34+H34</f>
        <v>368882103</v>
      </c>
      <c r="C35" s="329"/>
      <c r="D35" s="329"/>
      <c r="E35" s="329"/>
      <c r="F35" s="329"/>
      <c r="G35" s="329"/>
      <c r="H35" s="330"/>
      <c r="J35" s="38"/>
      <c r="K35" s="38"/>
      <c r="L35" s="38"/>
      <c r="M35" s="38"/>
      <c r="N35" s="38"/>
    </row>
    <row r="36" spans="4:6" ht="13.5" thickBot="1">
      <c r="D36" s="53"/>
      <c r="E36" s="54"/>
      <c r="F36" s="14"/>
    </row>
    <row r="37" spans="1:8" ht="16.5" thickBot="1">
      <c r="A37" s="27" t="s">
        <v>9</v>
      </c>
      <c r="B37" s="322" t="s">
        <v>184</v>
      </c>
      <c r="C37" s="323"/>
      <c r="D37" s="323"/>
      <c r="E37" s="323"/>
      <c r="F37" s="323"/>
      <c r="G37" s="323"/>
      <c r="H37" s="324"/>
    </row>
    <row r="38" spans="1:8" ht="90" thickBot="1">
      <c r="A38" s="37" t="s">
        <v>10</v>
      </c>
      <c r="B38" s="42" t="s">
        <v>35</v>
      </c>
      <c r="C38" s="43" t="s">
        <v>11</v>
      </c>
      <c r="D38" s="43" t="s">
        <v>141</v>
      </c>
      <c r="E38" s="43" t="s">
        <v>12</v>
      </c>
      <c r="F38" s="43" t="s">
        <v>13</v>
      </c>
      <c r="G38" s="43" t="s">
        <v>34</v>
      </c>
      <c r="H38" s="44" t="s">
        <v>15</v>
      </c>
    </row>
    <row r="39" spans="1:8" ht="12.75">
      <c r="A39" s="97">
        <v>63</v>
      </c>
      <c r="B39" s="98"/>
      <c r="C39" s="99"/>
      <c r="D39" s="100"/>
      <c r="E39" s="101">
        <v>133065200</v>
      </c>
      <c r="F39" s="102"/>
      <c r="G39" s="102"/>
      <c r="H39" s="103"/>
    </row>
    <row r="40" spans="1:8" ht="12.75">
      <c r="A40" s="104">
        <v>64</v>
      </c>
      <c r="B40" s="105"/>
      <c r="C40" s="51">
        <v>87000</v>
      </c>
      <c r="D40" s="51"/>
      <c r="E40" s="51"/>
      <c r="F40" s="51"/>
      <c r="G40" s="51"/>
      <c r="H40" s="106"/>
    </row>
    <row r="41" spans="1:8" ht="12.75">
      <c r="A41" s="104">
        <v>65</v>
      </c>
      <c r="B41" s="105"/>
      <c r="C41" s="51"/>
      <c r="D41" s="51">
        <v>21155000</v>
      </c>
      <c r="E41" s="51"/>
      <c r="F41" s="51"/>
      <c r="G41" s="51"/>
      <c r="H41" s="106"/>
    </row>
    <row r="42" spans="1:8" ht="12.75">
      <c r="A42" s="104">
        <v>66</v>
      </c>
      <c r="B42" s="105"/>
      <c r="C42" s="51">
        <v>3000000</v>
      </c>
      <c r="D42" s="51"/>
      <c r="E42" s="51"/>
      <c r="F42" s="51">
        <v>400000</v>
      </c>
      <c r="G42" s="51"/>
      <c r="H42" s="106"/>
    </row>
    <row r="43" spans="1:8" ht="12.75">
      <c r="A43" s="104">
        <v>67</v>
      </c>
      <c r="B43" s="105">
        <v>9789103</v>
      </c>
      <c r="C43" s="51"/>
      <c r="D43" s="51">
        <v>202658800</v>
      </c>
      <c r="E43" s="51"/>
      <c r="F43" s="51"/>
      <c r="G43" s="51"/>
      <c r="H43" s="106"/>
    </row>
    <row r="44" spans="1:8" ht="12.75">
      <c r="A44" s="104">
        <v>68</v>
      </c>
      <c r="B44" s="105"/>
      <c r="C44" s="51">
        <v>680000</v>
      </c>
      <c r="D44" s="51"/>
      <c r="E44" s="51"/>
      <c r="F44" s="51"/>
      <c r="G44" s="51">
        <v>12000</v>
      </c>
      <c r="H44" s="106"/>
    </row>
    <row r="45" spans="1:8" ht="13.5" thickBot="1">
      <c r="A45" s="107">
        <v>71</v>
      </c>
      <c r="B45" s="113"/>
      <c r="C45" s="114"/>
      <c r="D45" s="114"/>
      <c r="E45" s="114"/>
      <c r="F45" s="114"/>
      <c r="G45" s="114"/>
      <c r="H45" s="115"/>
    </row>
    <row r="46" spans="1:14" s="39" customFormat="1" ht="30" customHeight="1" thickBot="1">
      <c r="A46" s="52" t="s">
        <v>16</v>
      </c>
      <c r="B46" s="116">
        <f>SUM(B39:B45)</f>
        <v>9789103</v>
      </c>
      <c r="C46" s="116">
        <f aca="true" t="shared" si="2" ref="C46:H46">SUM(C39:C45)</f>
        <v>3767000</v>
      </c>
      <c r="D46" s="116">
        <f t="shared" si="2"/>
        <v>223813800</v>
      </c>
      <c r="E46" s="116">
        <f t="shared" si="2"/>
        <v>133065200</v>
      </c>
      <c r="F46" s="116">
        <f t="shared" si="2"/>
        <v>400000</v>
      </c>
      <c r="G46" s="116">
        <f t="shared" si="2"/>
        <v>12000</v>
      </c>
      <c r="H46" s="117">
        <f t="shared" si="2"/>
        <v>0</v>
      </c>
      <c r="J46" s="38"/>
      <c r="K46" s="38"/>
      <c r="L46" s="38"/>
      <c r="M46" s="38"/>
      <c r="N46" s="38"/>
    </row>
    <row r="47" spans="1:14" s="39" customFormat="1" ht="28.5" customHeight="1" thickBot="1">
      <c r="A47" s="118" t="s">
        <v>166</v>
      </c>
      <c r="B47" s="325">
        <f>SUM(B46:H46)</f>
        <v>370847103</v>
      </c>
      <c r="C47" s="326"/>
      <c r="D47" s="326"/>
      <c r="E47" s="326"/>
      <c r="F47" s="326"/>
      <c r="G47" s="326"/>
      <c r="H47" s="327"/>
      <c r="J47" s="38"/>
      <c r="K47" s="14"/>
      <c r="L47" s="14"/>
      <c r="M47" s="14"/>
      <c r="N47" s="38"/>
    </row>
    <row r="48" spans="3:5" ht="13.5" customHeight="1">
      <c r="C48" s="7"/>
      <c r="D48" s="53"/>
      <c r="E48" s="55"/>
    </row>
    <row r="49" spans="3:5" ht="13.5" customHeight="1">
      <c r="C49" s="7"/>
      <c r="D49" s="56"/>
      <c r="E49" s="119"/>
    </row>
    <row r="50" spans="4:5" ht="13.5" customHeight="1">
      <c r="D50" s="58"/>
      <c r="E50" s="120"/>
    </row>
    <row r="51" spans="4:5" ht="13.5" customHeight="1">
      <c r="D51" s="59"/>
      <c r="E51" s="60"/>
    </row>
    <row r="52" spans="4:5" ht="13.5" customHeight="1">
      <c r="D52" s="53"/>
      <c r="E52" s="54"/>
    </row>
    <row r="53" spans="3:5" ht="28.5" customHeight="1">
      <c r="C53" s="7"/>
      <c r="D53" s="53"/>
      <c r="E53" s="61"/>
    </row>
    <row r="54" spans="3:5" ht="13.5" customHeight="1">
      <c r="C54" s="7"/>
      <c r="D54" s="53"/>
      <c r="E54" s="57"/>
    </row>
    <row r="55" spans="4:5" ht="13.5" customHeight="1">
      <c r="D55" s="53"/>
      <c r="E55" s="54"/>
    </row>
    <row r="56" spans="4:5" ht="13.5" customHeight="1">
      <c r="D56" s="53"/>
      <c r="E56" s="60"/>
    </row>
    <row r="57" spans="4:5" ht="13.5" customHeight="1">
      <c r="D57" s="53"/>
      <c r="E57" s="54"/>
    </row>
    <row r="58" spans="4:5" ht="22.5" customHeight="1">
      <c r="D58" s="53"/>
      <c r="E58" s="62"/>
    </row>
    <row r="59" spans="4:5" ht="13.5" customHeight="1">
      <c r="D59" s="58"/>
      <c r="E59" s="120"/>
    </row>
    <row r="60" spans="2:5" ht="13.5" customHeight="1">
      <c r="B60" s="7"/>
      <c r="D60" s="58"/>
      <c r="E60" s="63"/>
    </row>
    <row r="61" spans="3:5" ht="13.5" customHeight="1">
      <c r="C61" s="7"/>
      <c r="D61" s="58"/>
      <c r="E61" s="64"/>
    </row>
    <row r="62" spans="3:5" ht="13.5" customHeight="1">
      <c r="C62" s="7"/>
      <c r="D62" s="59"/>
      <c r="E62" s="57"/>
    </row>
    <row r="63" spans="4:5" ht="13.5" customHeight="1">
      <c r="D63" s="53"/>
      <c r="E63" s="54"/>
    </row>
    <row r="64" spans="2:5" ht="13.5" customHeight="1">
      <c r="B64" s="7"/>
      <c r="D64" s="53"/>
      <c r="E64" s="55"/>
    </row>
    <row r="65" spans="3:5" ht="13.5" customHeight="1">
      <c r="C65" s="7"/>
      <c r="D65" s="53"/>
      <c r="E65" s="63"/>
    </row>
    <row r="66" spans="3:5" ht="13.5" customHeight="1">
      <c r="C66" s="7"/>
      <c r="D66" s="59"/>
      <c r="E66" s="57"/>
    </row>
    <row r="67" spans="4:5" ht="13.5" customHeight="1">
      <c r="D67" s="58"/>
      <c r="E67" s="54"/>
    </row>
    <row r="68" spans="3:5" ht="13.5" customHeight="1">
      <c r="C68" s="7"/>
      <c r="D68" s="58"/>
      <c r="E68" s="63"/>
    </row>
    <row r="69" spans="4:5" ht="22.5" customHeight="1">
      <c r="D69" s="59"/>
      <c r="E69" s="62"/>
    </row>
    <row r="70" spans="4:5" ht="13.5" customHeight="1">
      <c r="D70" s="53"/>
      <c r="E70" s="54"/>
    </row>
    <row r="71" spans="4:5" ht="13.5" customHeight="1">
      <c r="D71" s="59"/>
      <c r="E71" s="57"/>
    </row>
    <row r="72" spans="4:5" ht="13.5" customHeight="1">
      <c r="D72" s="53"/>
      <c r="E72" s="54"/>
    </row>
    <row r="73" spans="4:5" ht="13.5" customHeight="1">
      <c r="D73" s="53"/>
      <c r="E73" s="54"/>
    </row>
    <row r="74" spans="1:5" ht="13.5" customHeight="1">
      <c r="A74" s="7"/>
      <c r="D74" s="65"/>
      <c r="E74" s="63"/>
    </row>
    <row r="75" spans="2:5" ht="13.5" customHeight="1">
      <c r="B75" s="7"/>
      <c r="C75" s="7"/>
      <c r="D75" s="66"/>
      <c r="E75" s="63"/>
    </row>
    <row r="76" spans="2:5" ht="13.5" customHeight="1">
      <c r="B76" s="7"/>
      <c r="C76" s="7"/>
      <c r="D76" s="66"/>
      <c r="E76" s="55"/>
    </row>
    <row r="77" spans="2:5" ht="13.5" customHeight="1">
      <c r="B77" s="7"/>
      <c r="C77" s="7"/>
      <c r="D77" s="59"/>
      <c r="E77" s="60"/>
    </row>
    <row r="78" spans="4:5" ht="12.75">
      <c r="D78" s="53"/>
      <c r="E78" s="54"/>
    </row>
    <row r="79" spans="2:5" ht="12.75">
      <c r="B79" s="7"/>
      <c r="D79" s="53"/>
      <c r="E79" s="63"/>
    </row>
    <row r="80" spans="3:5" ht="12.75">
      <c r="C80" s="7"/>
      <c r="D80" s="53"/>
      <c r="E80" s="55"/>
    </row>
    <row r="81" spans="3:5" ht="12.75">
      <c r="C81" s="7"/>
      <c r="D81" s="59"/>
      <c r="E81" s="57"/>
    </row>
    <row r="82" spans="4:5" ht="12.75">
      <c r="D82" s="53"/>
      <c r="E82" s="54"/>
    </row>
    <row r="83" spans="4:5" ht="12.75">
      <c r="D83" s="53"/>
      <c r="E83" s="54"/>
    </row>
    <row r="84" spans="4:5" ht="12.75">
      <c r="D84" s="8"/>
      <c r="E84" s="9"/>
    </row>
    <row r="85" spans="4:5" ht="12.75">
      <c r="D85" s="53"/>
      <c r="E85" s="54"/>
    </row>
    <row r="86" spans="4:5" ht="12.75">
      <c r="D86" s="53"/>
      <c r="E86" s="54"/>
    </row>
    <row r="87" spans="4:5" ht="12.75">
      <c r="D87" s="53"/>
      <c r="E87" s="54"/>
    </row>
    <row r="88" spans="4:5" ht="12.75">
      <c r="D88" s="59"/>
      <c r="E88" s="57"/>
    </row>
    <row r="89" spans="4:5" ht="12.75">
      <c r="D89" s="53"/>
      <c r="E89" s="54"/>
    </row>
    <row r="90" spans="4:5" ht="12.75">
      <c r="D90" s="59"/>
      <c r="E90" s="57"/>
    </row>
    <row r="91" spans="4:5" ht="12.75">
      <c r="D91" s="53"/>
      <c r="E91" s="54"/>
    </row>
    <row r="92" spans="4:5" ht="12.75">
      <c r="D92" s="53"/>
      <c r="E92" s="54"/>
    </row>
    <row r="93" spans="4:5" ht="12.75">
      <c r="D93" s="53"/>
      <c r="E93" s="54"/>
    </row>
    <row r="94" spans="4:5" ht="12.75">
      <c r="D94" s="53"/>
      <c r="E94" s="54"/>
    </row>
    <row r="95" spans="1:5" ht="28.5" customHeight="1">
      <c r="A95" s="67"/>
      <c r="B95" s="67"/>
      <c r="C95" s="67"/>
      <c r="D95" s="68"/>
      <c r="E95" s="10"/>
    </row>
    <row r="96" spans="3:5" ht="12.75">
      <c r="C96" s="7"/>
      <c r="D96" s="53"/>
      <c r="E96" s="55"/>
    </row>
    <row r="97" spans="4:5" ht="12.75">
      <c r="D97" s="11"/>
      <c r="E97" s="12"/>
    </row>
    <row r="98" spans="4:5" ht="12.75">
      <c r="D98" s="53"/>
      <c r="E98" s="54"/>
    </row>
    <row r="99" spans="4:5" ht="12.75">
      <c r="D99" s="8"/>
      <c r="E99" s="9"/>
    </row>
    <row r="100" spans="4:5" ht="12.75">
      <c r="D100" s="8"/>
      <c r="E100" s="9"/>
    </row>
    <row r="101" spans="4:5" ht="12.75">
      <c r="D101" s="53"/>
      <c r="E101" s="54"/>
    </row>
    <row r="102" spans="4:5" ht="12.75">
      <c r="D102" s="59"/>
      <c r="E102" s="57"/>
    </row>
    <row r="103" spans="4:5" ht="12.75">
      <c r="D103" s="53"/>
      <c r="E103" s="54"/>
    </row>
    <row r="104" spans="4:5" ht="12.75">
      <c r="D104" s="53"/>
      <c r="E104" s="54"/>
    </row>
    <row r="105" spans="4:5" ht="12.75">
      <c r="D105" s="59"/>
      <c r="E105" s="57"/>
    </row>
    <row r="106" spans="4:5" ht="12.75">
      <c r="D106" s="53"/>
      <c r="E106" s="54"/>
    </row>
    <row r="107" spans="4:5" ht="12.75">
      <c r="D107" s="8"/>
      <c r="E107" s="9"/>
    </row>
    <row r="108" spans="4:5" ht="12.75">
      <c r="D108" s="59"/>
      <c r="E108" s="12"/>
    </row>
    <row r="109" spans="4:5" ht="12.75">
      <c r="D109" s="58"/>
      <c r="E109" s="9"/>
    </row>
    <row r="110" spans="4:5" ht="12.75">
      <c r="D110" s="59"/>
      <c r="E110" s="57"/>
    </row>
    <row r="111" spans="4:5" ht="12.75">
      <c r="D111" s="53"/>
      <c r="E111" s="54"/>
    </row>
    <row r="112" spans="3:5" ht="12.75">
      <c r="C112" s="7"/>
      <c r="D112" s="53"/>
      <c r="E112" s="55"/>
    </row>
    <row r="113" spans="4:5" ht="12.75">
      <c r="D113" s="58"/>
      <c r="E113" s="57"/>
    </row>
    <row r="114" spans="4:5" ht="12.75">
      <c r="D114" s="58"/>
      <c r="E114" s="9"/>
    </row>
    <row r="115" spans="3:5" ht="12.75">
      <c r="C115" s="7"/>
      <c r="D115" s="58"/>
      <c r="E115" s="13"/>
    </row>
    <row r="116" spans="3:5" ht="12.75">
      <c r="C116" s="7"/>
      <c r="D116" s="59"/>
      <c r="E116" s="60"/>
    </row>
    <row r="117" spans="4:5" ht="12.75">
      <c r="D117" s="53"/>
      <c r="E117" s="54"/>
    </row>
    <row r="118" spans="4:5" ht="12.75">
      <c r="D118" s="11"/>
      <c r="E118" s="14"/>
    </row>
    <row r="119" spans="4:5" ht="11.25" customHeight="1">
      <c r="D119" s="8"/>
      <c r="E119" s="9"/>
    </row>
    <row r="120" spans="2:5" ht="24" customHeight="1">
      <c r="B120" s="7"/>
      <c r="D120" s="8"/>
      <c r="E120" s="15"/>
    </row>
    <row r="121" spans="3:5" ht="15" customHeight="1">
      <c r="C121" s="7"/>
      <c r="D121" s="8"/>
      <c r="E121" s="15"/>
    </row>
    <row r="122" spans="4:5" ht="11.25" customHeight="1">
      <c r="D122" s="11"/>
      <c r="E122" s="12"/>
    </row>
    <row r="123" spans="4:5" ht="12.75">
      <c r="D123" s="8"/>
      <c r="E123" s="9"/>
    </row>
    <row r="124" spans="2:5" ht="13.5" customHeight="1">
      <c r="B124" s="7"/>
      <c r="D124" s="8"/>
      <c r="E124" s="16"/>
    </row>
    <row r="125" spans="3:5" ht="12.75" customHeight="1">
      <c r="C125" s="7"/>
      <c r="D125" s="8"/>
      <c r="E125" s="55"/>
    </row>
    <row r="126" spans="3:5" ht="12.75" customHeight="1">
      <c r="C126" s="7"/>
      <c r="D126" s="59"/>
      <c r="E126" s="60"/>
    </row>
    <row r="127" spans="4:5" ht="12.75">
      <c r="D127" s="53"/>
      <c r="E127" s="54"/>
    </row>
    <row r="128" spans="3:5" ht="12.75">
      <c r="C128" s="7"/>
      <c r="D128" s="53"/>
      <c r="E128" s="13"/>
    </row>
    <row r="129" spans="4:5" ht="12.75">
      <c r="D129" s="11"/>
      <c r="E129" s="12"/>
    </row>
    <row r="130" spans="4:5" ht="12.75">
      <c r="D130" s="8"/>
      <c r="E130" s="9"/>
    </row>
    <row r="131" spans="4:5" ht="12.75">
      <c r="D131" s="53"/>
      <c r="E131" s="54"/>
    </row>
    <row r="132" spans="1:5" ht="19.5" customHeight="1">
      <c r="A132" s="69"/>
      <c r="B132" s="3"/>
      <c r="C132" s="3"/>
      <c r="D132" s="3"/>
      <c r="E132" s="63"/>
    </row>
    <row r="133" spans="1:5" ht="15" customHeight="1">
      <c r="A133" s="7"/>
      <c r="D133" s="65"/>
      <c r="E133" s="63"/>
    </row>
    <row r="134" spans="1:5" ht="12.75">
      <c r="A134" s="7"/>
      <c r="B134" s="7"/>
      <c r="D134" s="65"/>
      <c r="E134" s="55"/>
    </row>
    <row r="135" spans="3:5" ht="12.75">
      <c r="C135" s="7"/>
      <c r="D135" s="53"/>
      <c r="E135" s="63"/>
    </row>
    <row r="136" spans="4:5" ht="12.75">
      <c r="D136" s="56"/>
      <c r="E136" s="57"/>
    </row>
    <row r="137" spans="2:5" ht="12.75">
      <c r="B137" s="7"/>
      <c r="D137" s="53"/>
      <c r="E137" s="55"/>
    </row>
    <row r="138" spans="3:5" ht="12.75">
      <c r="C138" s="7"/>
      <c r="D138" s="53"/>
      <c r="E138" s="55"/>
    </row>
    <row r="139" spans="4:5" ht="12.75">
      <c r="D139" s="59"/>
      <c r="E139" s="60"/>
    </row>
    <row r="140" spans="3:5" ht="22.5" customHeight="1">
      <c r="C140" s="7"/>
      <c r="D140" s="53"/>
      <c r="E140" s="61"/>
    </row>
    <row r="141" spans="4:5" ht="12.75">
      <c r="D141" s="53"/>
      <c r="E141" s="60"/>
    </row>
    <row r="142" spans="2:5" ht="12.75">
      <c r="B142" s="7"/>
      <c r="D142" s="58"/>
      <c r="E142" s="63"/>
    </row>
    <row r="143" spans="3:5" ht="12.75">
      <c r="C143" s="7"/>
      <c r="D143" s="58"/>
      <c r="E143" s="64"/>
    </row>
    <row r="144" spans="4:5" ht="12.75">
      <c r="D144" s="59"/>
      <c r="E144" s="57"/>
    </row>
    <row r="145" spans="1:5" ht="13.5" customHeight="1">
      <c r="A145" s="7"/>
      <c r="D145" s="65"/>
      <c r="E145" s="63"/>
    </row>
    <row r="146" spans="2:5" ht="13.5" customHeight="1">
      <c r="B146" s="7"/>
      <c r="D146" s="53"/>
      <c r="E146" s="63"/>
    </row>
    <row r="147" spans="3:5" ht="13.5" customHeight="1">
      <c r="C147" s="7"/>
      <c r="D147" s="53"/>
      <c r="E147" s="55"/>
    </row>
    <row r="148" spans="3:5" ht="12.75">
      <c r="C148" s="7"/>
      <c r="D148" s="59"/>
      <c r="E148" s="57"/>
    </row>
    <row r="149" spans="3:5" ht="12.75">
      <c r="C149" s="7"/>
      <c r="D149" s="53"/>
      <c r="E149" s="55"/>
    </row>
    <row r="150" spans="4:5" ht="12.75">
      <c r="D150" s="11"/>
      <c r="E150" s="12"/>
    </row>
    <row r="151" spans="3:5" ht="12.75">
      <c r="C151" s="7"/>
      <c r="D151" s="58"/>
      <c r="E151" s="13"/>
    </row>
    <row r="152" spans="3:5" ht="12.75">
      <c r="C152" s="7"/>
      <c r="D152" s="59"/>
      <c r="E152" s="60"/>
    </row>
    <row r="153" spans="4:5" ht="12.75">
      <c r="D153" s="11"/>
      <c r="E153" s="17"/>
    </row>
    <row r="154" spans="2:5" ht="12.75">
      <c r="B154" s="7"/>
      <c r="D154" s="8"/>
      <c r="E154" s="16"/>
    </row>
    <row r="155" spans="3:5" ht="12.75">
      <c r="C155" s="7"/>
      <c r="D155" s="8"/>
      <c r="E155" s="55"/>
    </row>
    <row r="156" spans="3:5" ht="12.75">
      <c r="C156" s="7"/>
      <c r="D156" s="59"/>
      <c r="E156" s="60"/>
    </row>
    <row r="157" spans="3:5" ht="12.75">
      <c r="C157" s="7"/>
      <c r="D157" s="59"/>
      <c r="E157" s="60"/>
    </row>
    <row r="158" spans="4:5" ht="12.75">
      <c r="D158" s="53"/>
      <c r="E158" s="54"/>
    </row>
    <row r="159" spans="1:14" s="18" customFormat="1" ht="18" customHeight="1">
      <c r="A159" s="320"/>
      <c r="B159" s="321"/>
      <c r="C159" s="321"/>
      <c r="D159" s="321"/>
      <c r="E159" s="321"/>
      <c r="J159" s="32"/>
      <c r="K159" s="32"/>
      <c r="L159" s="32"/>
      <c r="M159" s="32"/>
      <c r="N159" s="32"/>
    </row>
    <row r="160" spans="1:5" ht="28.5" customHeight="1">
      <c r="A160" s="67"/>
      <c r="B160" s="67"/>
      <c r="C160" s="67"/>
      <c r="D160" s="68"/>
      <c r="E160" s="10"/>
    </row>
    <row r="162" spans="1:5" ht="15.75">
      <c r="A162" s="20"/>
      <c r="B162" s="7"/>
      <c r="C162" s="7"/>
      <c r="D162" s="21"/>
      <c r="E162" s="2"/>
    </row>
    <row r="163" spans="1:5" ht="12.75">
      <c r="A163" s="7"/>
      <c r="B163" s="7"/>
      <c r="C163" s="7"/>
      <c r="D163" s="21"/>
      <c r="E163" s="2"/>
    </row>
    <row r="164" spans="1:5" ht="17.25" customHeight="1">
      <c r="A164" s="7"/>
      <c r="B164" s="7"/>
      <c r="C164" s="7"/>
      <c r="D164" s="21"/>
      <c r="E164" s="2"/>
    </row>
    <row r="165" spans="1:5" ht="13.5" customHeight="1">
      <c r="A165" s="7"/>
      <c r="B165" s="7"/>
      <c r="C165" s="7"/>
      <c r="D165" s="21"/>
      <c r="E165" s="2"/>
    </row>
    <row r="166" spans="1:5" ht="12.75">
      <c r="A166" s="7"/>
      <c r="B166" s="7"/>
      <c r="C166" s="7"/>
      <c r="D166" s="21"/>
      <c r="E166" s="2"/>
    </row>
    <row r="167" spans="1:3" ht="12.75">
      <c r="A167" s="7"/>
      <c r="B167" s="7"/>
      <c r="C167" s="7"/>
    </row>
    <row r="168" spans="1:5" ht="12.75">
      <c r="A168" s="7"/>
      <c r="B168" s="7"/>
      <c r="C168" s="7"/>
      <c r="D168" s="21"/>
      <c r="E168" s="2"/>
    </row>
    <row r="169" spans="1:5" ht="12.75">
      <c r="A169" s="7"/>
      <c r="B169" s="7"/>
      <c r="C169" s="7"/>
      <c r="D169" s="21"/>
      <c r="E169" s="22"/>
    </row>
    <row r="170" spans="1:5" ht="12.75">
      <c r="A170" s="7"/>
      <c r="B170" s="7"/>
      <c r="C170" s="7"/>
      <c r="D170" s="21"/>
      <c r="E170" s="2"/>
    </row>
    <row r="171" spans="1:5" ht="22.5" customHeight="1">
      <c r="A171" s="7"/>
      <c r="B171" s="7"/>
      <c r="C171" s="7"/>
      <c r="D171" s="21"/>
      <c r="E171" s="61"/>
    </row>
    <row r="172" spans="4:5" ht="22.5" customHeight="1">
      <c r="D172" s="59"/>
      <c r="E172" s="62"/>
    </row>
  </sheetData>
  <sheetProtection/>
  <mergeCells count="8">
    <mergeCell ref="A159:E159"/>
    <mergeCell ref="B3:H3"/>
    <mergeCell ref="B47:H47"/>
    <mergeCell ref="A1:H1"/>
    <mergeCell ref="B22:H22"/>
    <mergeCell ref="B24:H24"/>
    <mergeCell ref="B35:H35"/>
    <mergeCell ref="B37:H3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23" max="9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44"/>
  <sheetViews>
    <sheetView tabSelected="1" zoomScale="90" zoomScaleNormal="90" zoomScalePageLayoutView="0" workbookViewId="0" topLeftCell="A1">
      <selection activeCell="R9" sqref="R9"/>
    </sheetView>
  </sheetViews>
  <sheetFormatPr defaultColWidth="9.140625" defaultRowHeight="12.75"/>
  <cols>
    <col min="1" max="1" width="7.28125" style="121" customWidth="1"/>
    <col min="2" max="2" width="39.140625" style="156" customWidth="1"/>
    <col min="3" max="4" width="15.57421875" style="271" customWidth="1"/>
    <col min="5" max="6" width="15.140625" style="156" customWidth="1"/>
    <col min="7" max="7" width="15.140625" style="94" customWidth="1"/>
    <col min="8" max="8" width="11.8515625" style="156" customWidth="1"/>
    <col min="9" max="9" width="15.140625" style="156" customWidth="1"/>
    <col min="10" max="10" width="13.28125" style="156" customWidth="1"/>
    <col min="11" max="11" width="15.140625" style="156" customWidth="1"/>
    <col min="12" max="12" width="15.57421875" style="156" customWidth="1"/>
    <col min="13" max="13" width="16.7109375" style="156" hidden="1" customWidth="1"/>
    <col min="14" max="14" width="16.421875" style="156" hidden="1" customWidth="1"/>
    <col min="15" max="15" width="0.42578125" style="156" hidden="1" customWidth="1"/>
    <col min="16" max="17" width="16.00390625" style="156" hidden="1" customWidth="1"/>
    <col min="18" max="18" width="15.8515625" style="38" customWidth="1"/>
    <col min="19" max="19" width="14.28125" style="38" customWidth="1"/>
    <col min="20" max="20" width="14.421875" style="38" customWidth="1"/>
    <col min="21" max="21" width="12.421875" style="38" customWidth="1"/>
    <col min="22" max="29" width="9.140625" style="38" customWidth="1"/>
    <col min="30" max="16384" width="9.140625" style="156" customWidth="1"/>
  </cols>
  <sheetData>
    <row r="1" spans="1:29" s="121" customFormat="1" ht="16.5" customHeight="1">
      <c r="A1" s="332" t="s">
        <v>193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1:29" s="129" customFormat="1" ht="66" customHeight="1">
      <c r="A2" s="123" t="s">
        <v>17</v>
      </c>
      <c r="B2" s="123" t="s">
        <v>18</v>
      </c>
      <c r="C2" s="124" t="s">
        <v>191</v>
      </c>
      <c r="D2" s="125" t="s">
        <v>37</v>
      </c>
      <c r="E2" s="126" t="s">
        <v>11</v>
      </c>
      <c r="F2" s="125" t="s">
        <v>141</v>
      </c>
      <c r="G2" s="70" t="s">
        <v>12</v>
      </c>
      <c r="H2" s="126" t="s">
        <v>19</v>
      </c>
      <c r="I2" s="126" t="s">
        <v>14</v>
      </c>
      <c r="J2" s="126" t="s">
        <v>15</v>
      </c>
      <c r="K2" s="124" t="s">
        <v>189</v>
      </c>
      <c r="L2" s="124" t="s">
        <v>190</v>
      </c>
      <c r="M2" s="127"/>
      <c r="N2" s="127"/>
      <c r="O2" s="128" t="s">
        <v>38</v>
      </c>
      <c r="P2" s="128" t="s">
        <v>39</v>
      </c>
      <c r="Q2" s="128" t="s">
        <v>40</v>
      </c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29" s="139" customFormat="1" ht="22.5" customHeight="1">
      <c r="A3" s="130"/>
      <c r="B3" s="130" t="s">
        <v>126</v>
      </c>
      <c r="C3" s="131"/>
      <c r="D3" s="132">
        <v>671</v>
      </c>
      <c r="E3" s="133" t="s">
        <v>144</v>
      </c>
      <c r="F3" s="134" t="s">
        <v>142</v>
      </c>
      <c r="G3" s="71" t="s">
        <v>143</v>
      </c>
      <c r="H3" s="135">
        <v>663</v>
      </c>
      <c r="I3" s="135">
        <v>711</v>
      </c>
      <c r="J3" s="135"/>
      <c r="K3" s="136"/>
      <c r="L3" s="137"/>
      <c r="M3" s="138"/>
      <c r="N3" s="13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1:29" s="139" customFormat="1" ht="15" customHeight="1">
      <c r="A4" s="130"/>
      <c r="B4" s="130" t="s">
        <v>145</v>
      </c>
      <c r="C4" s="131"/>
      <c r="D4" s="132" t="s">
        <v>146</v>
      </c>
      <c r="E4" s="133" t="s">
        <v>147</v>
      </c>
      <c r="F4" s="134" t="s">
        <v>148</v>
      </c>
      <c r="G4" s="71" t="s">
        <v>149</v>
      </c>
      <c r="H4" s="135" t="s">
        <v>150</v>
      </c>
      <c r="I4" s="135" t="s">
        <v>151</v>
      </c>
      <c r="J4" s="135" t="s">
        <v>152</v>
      </c>
      <c r="K4" s="136"/>
      <c r="L4" s="137"/>
      <c r="M4" s="138"/>
      <c r="N4" s="13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</row>
    <row r="5" spans="1:29" s="139" customFormat="1" ht="14.25" customHeight="1">
      <c r="A5" s="140"/>
      <c r="B5" s="141" t="s">
        <v>36</v>
      </c>
      <c r="C5" s="142"/>
      <c r="D5" s="132"/>
      <c r="E5" s="142"/>
      <c r="F5" s="134"/>
      <c r="G5" s="72"/>
      <c r="H5" s="142"/>
      <c r="I5" s="142"/>
      <c r="J5" s="142"/>
      <c r="K5" s="142"/>
      <c r="L5" s="143"/>
      <c r="M5" s="138"/>
      <c r="N5" s="13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</row>
    <row r="6" spans="1:29" s="150" customFormat="1" ht="14.25" customHeight="1">
      <c r="A6" s="144"/>
      <c r="B6" s="145" t="s">
        <v>41</v>
      </c>
      <c r="C6" s="145"/>
      <c r="D6" s="146"/>
      <c r="E6" s="145"/>
      <c r="F6" s="147"/>
      <c r="G6" s="73"/>
      <c r="H6" s="145"/>
      <c r="I6" s="145"/>
      <c r="J6" s="145"/>
      <c r="K6" s="145"/>
      <c r="L6" s="148"/>
      <c r="M6" s="149"/>
      <c r="N6" s="149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</row>
    <row r="7" spans="1:29" s="150" customFormat="1" ht="15" customHeight="1">
      <c r="A7" s="151" t="s">
        <v>31</v>
      </c>
      <c r="B7" s="145" t="s">
        <v>42</v>
      </c>
      <c r="C7" s="145"/>
      <c r="F7" s="147"/>
      <c r="G7" s="73"/>
      <c r="H7" s="145"/>
      <c r="I7" s="145"/>
      <c r="J7" s="145"/>
      <c r="K7" s="331" t="s">
        <v>157</v>
      </c>
      <c r="L7" s="331"/>
      <c r="M7" s="149"/>
      <c r="N7" s="149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</row>
    <row r="8" spans="1:29" s="139" customFormat="1" ht="14.25" customHeight="1">
      <c r="A8" s="152">
        <v>3</v>
      </c>
      <c r="B8" s="153" t="s">
        <v>43</v>
      </c>
      <c r="C8" s="74">
        <f aca="true" t="shared" si="0" ref="C8:L8">C9+C17+C49+C57</f>
        <v>283834483</v>
      </c>
      <c r="D8" s="74">
        <f t="shared" si="0"/>
        <v>0</v>
      </c>
      <c r="E8" s="74">
        <f t="shared" si="0"/>
        <v>3715450</v>
      </c>
      <c r="F8" s="74">
        <f t="shared" si="0"/>
        <v>223813800</v>
      </c>
      <c r="G8" s="74">
        <f t="shared" si="0"/>
        <v>55893233</v>
      </c>
      <c r="H8" s="74">
        <f t="shared" si="0"/>
        <v>400000</v>
      </c>
      <c r="I8" s="74">
        <f t="shared" si="0"/>
        <v>12000</v>
      </c>
      <c r="J8" s="74">
        <f>J9+J17+J49+J57</f>
        <v>0</v>
      </c>
      <c r="K8" s="74">
        <f t="shared" si="0"/>
        <v>280393000</v>
      </c>
      <c r="L8" s="74">
        <f t="shared" si="0"/>
        <v>281358000</v>
      </c>
      <c r="M8" s="138"/>
      <c r="N8" s="13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</row>
    <row r="9" spans="1:14" ht="14.25" customHeight="1">
      <c r="A9" s="152">
        <v>31</v>
      </c>
      <c r="B9" s="153" t="s">
        <v>20</v>
      </c>
      <c r="C9" s="74">
        <f>C10+C12+C14</f>
        <v>191746000</v>
      </c>
      <c r="D9" s="154">
        <f aca="true" t="shared" si="1" ref="D9:J9">D10+D12+D14</f>
        <v>0</v>
      </c>
      <c r="E9" s="154">
        <f t="shared" si="1"/>
        <v>3540450</v>
      </c>
      <c r="F9" s="154">
        <f t="shared" si="1"/>
        <v>178829550</v>
      </c>
      <c r="G9" s="74">
        <f t="shared" si="1"/>
        <v>9376000</v>
      </c>
      <c r="H9" s="154">
        <f t="shared" si="1"/>
        <v>0</v>
      </c>
      <c r="I9" s="154">
        <f t="shared" si="1"/>
        <v>0</v>
      </c>
      <c r="J9" s="154">
        <f t="shared" si="1"/>
        <v>0</v>
      </c>
      <c r="K9" s="154">
        <v>192705000</v>
      </c>
      <c r="L9" s="154">
        <v>193670000</v>
      </c>
      <c r="M9" s="155">
        <f>SUM(M11:M13)</f>
        <v>0</v>
      </c>
      <c r="N9" s="155">
        <f>SUM(N11:N13)</f>
        <v>0</v>
      </c>
    </row>
    <row r="10" spans="1:14" ht="15" customHeight="1">
      <c r="A10" s="152">
        <v>311</v>
      </c>
      <c r="B10" s="153" t="s">
        <v>44</v>
      </c>
      <c r="C10" s="154">
        <f>C11</f>
        <v>162000000</v>
      </c>
      <c r="D10" s="154">
        <f aca="true" t="shared" si="2" ref="D10:J10">D11</f>
        <v>0</v>
      </c>
      <c r="E10" s="154">
        <f t="shared" si="2"/>
        <v>3540450</v>
      </c>
      <c r="F10" s="154">
        <f t="shared" si="2"/>
        <v>150459550</v>
      </c>
      <c r="G10" s="74">
        <f t="shared" si="2"/>
        <v>8000000</v>
      </c>
      <c r="H10" s="154">
        <f t="shared" si="2"/>
        <v>0</v>
      </c>
      <c r="I10" s="154">
        <f t="shared" si="2"/>
        <v>0</v>
      </c>
      <c r="J10" s="154">
        <f t="shared" si="2"/>
        <v>0</v>
      </c>
      <c r="K10" s="157"/>
      <c r="L10" s="157"/>
      <c r="M10" s="155"/>
      <c r="N10" s="155"/>
    </row>
    <row r="11" spans="1:17" ht="15" customHeight="1" hidden="1">
      <c r="A11" s="158">
        <v>3111</v>
      </c>
      <c r="B11" s="159" t="s">
        <v>45</v>
      </c>
      <c r="C11" s="160">
        <f>+SUM(D11:J11)</f>
        <v>162000000</v>
      </c>
      <c r="D11" s="160">
        <v>0</v>
      </c>
      <c r="E11" s="160">
        <f>2700000+300000-140000-35000+171000+4000+1050000-37350-104215-429955+30570+13000+18400</f>
        <v>3540450</v>
      </c>
      <c r="F11" s="160">
        <f>162000000-3509050-8000000-13000-18400</f>
        <v>150459550</v>
      </c>
      <c r="G11" s="272">
        <f>8000000</f>
        <v>8000000</v>
      </c>
      <c r="H11" s="160"/>
      <c r="I11" s="160"/>
      <c r="J11" s="160"/>
      <c r="K11" s="160"/>
      <c r="L11" s="160"/>
      <c r="M11" s="156">
        <v>0</v>
      </c>
      <c r="N11" s="156">
        <v>0</v>
      </c>
      <c r="O11" s="156">
        <v>114767580</v>
      </c>
      <c r="P11" s="156">
        <f>C130+C146+C157</f>
        <v>60088</v>
      </c>
      <c r="Q11" s="156">
        <f>O11-P11-C11</f>
        <v>-47292508</v>
      </c>
    </row>
    <row r="12" spans="1:29" s="155" customFormat="1" ht="13.5" customHeight="1">
      <c r="A12" s="152">
        <v>312</v>
      </c>
      <c r="B12" s="153" t="s">
        <v>46</v>
      </c>
      <c r="C12" s="154">
        <f>C13</f>
        <v>5270000</v>
      </c>
      <c r="D12" s="154">
        <f aca="true" t="shared" si="3" ref="D12:J12">D13</f>
        <v>0</v>
      </c>
      <c r="E12" s="154">
        <f t="shared" si="3"/>
        <v>0</v>
      </c>
      <c r="F12" s="154">
        <f>F13</f>
        <v>5270000</v>
      </c>
      <c r="G12" s="74">
        <f t="shared" si="3"/>
        <v>0</v>
      </c>
      <c r="H12" s="154">
        <f t="shared" si="3"/>
        <v>0</v>
      </c>
      <c r="I12" s="154">
        <f t="shared" si="3"/>
        <v>0</v>
      </c>
      <c r="J12" s="154">
        <f t="shared" si="3"/>
        <v>0</v>
      </c>
      <c r="K12" s="154"/>
      <c r="L12" s="154"/>
      <c r="Q12" s="156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19" ht="15" customHeight="1" hidden="1">
      <c r="A13" s="161">
        <v>3121</v>
      </c>
      <c r="B13" s="159" t="s">
        <v>46</v>
      </c>
      <c r="C13" s="160">
        <f>SUM(D13:J13)</f>
        <v>5270000</v>
      </c>
      <c r="D13" s="162"/>
      <c r="E13" s="162"/>
      <c r="F13" s="162">
        <v>5270000</v>
      </c>
      <c r="G13" s="75"/>
      <c r="H13" s="162"/>
      <c r="I13" s="162"/>
      <c r="J13" s="162"/>
      <c r="K13" s="160"/>
      <c r="L13" s="160"/>
      <c r="M13" s="156">
        <v>0</v>
      </c>
      <c r="N13" s="156">
        <v>0</v>
      </c>
      <c r="O13" s="156">
        <v>3710000</v>
      </c>
      <c r="P13" s="156">
        <f>0</f>
        <v>0</v>
      </c>
      <c r="Q13" s="156">
        <f>O13-P13-C13</f>
        <v>-1560000</v>
      </c>
      <c r="S13" s="163"/>
    </row>
    <row r="14" spans="1:29" s="155" customFormat="1" ht="15" customHeight="1">
      <c r="A14" s="164">
        <v>313</v>
      </c>
      <c r="B14" s="153" t="s">
        <v>21</v>
      </c>
      <c r="C14" s="154">
        <f>SUM(C15:C16)</f>
        <v>24476000</v>
      </c>
      <c r="D14" s="154">
        <f>SUM(D15:D16)</f>
        <v>0</v>
      </c>
      <c r="E14" s="154">
        <f aca="true" t="shared" si="4" ref="E14:J14">SUM(E15:E16)</f>
        <v>0</v>
      </c>
      <c r="F14" s="154">
        <f t="shared" si="4"/>
        <v>23100000</v>
      </c>
      <c r="G14" s="74">
        <f t="shared" si="4"/>
        <v>1376000</v>
      </c>
      <c r="H14" s="154">
        <f t="shared" si="4"/>
        <v>0</v>
      </c>
      <c r="I14" s="154">
        <f t="shared" si="4"/>
        <v>0</v>
      </c>
      <c r="J14" s="154">
        <f t="shared" si="4"/>
        <v>0</v>
      </c>
      <c r="K14" s="154"/>
      <c r="L14" s="154"/>
      <c r="Q14" s="156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19" ht="24" customHeight="1" hidden="1">
      <c r="A15" s="161">
        <v>3132</v>
      </c>
      <c r="B15" s="159" t="s">
        <v>47</v>
      </c>
      <c r="C15" s="160">
        <f>+SUM(D15:J15)</f>
        <v>24476000</v>
      </c>
      <c r="D15" s="165">
        <v>0</v>
      </c>
      <c r="E15" s="165"/>
      <c r="F15" s="165">
        <f>24476000-1376000</f>
        <v>23100000</v>
      </c>
      <c r="G15" s="76">
        <v>1376000</v>
      </c>
      <c r="H15" s="165"/>
      <c r="I15" s="165"/>
      <c r="J15" s="165"/>
      <c r="K15" s="160"/>
      <c r="L15" s="160"/>
      <c r="M15" s="156">
        <v>0</v>
      </c>
      <c r="N15" s="156">
        <v>0</v>
      </c>
      <c r="O15" s="156">
        <v>17788973</v>
      </c>
      <c r="P15" s="156">
        <f>C132+C148+C159</f>
        <v>9912</v>
      </c>
      <c r="Q15" s="156">
        <f>O15-P15-C15</f>
        <v>-6696939</v>
      </c>
      <c r="S15" s="163"/>
    </row>
    <row r="16" spans="1:29" s="170" customFormat="1" ht="22.5" customHeight="1">
      <c r="A16" s="166">
        <v>3133</v>
      </c>
      <c r="B16" s="167" t="s">
        <v>48</v>
      </c>
      <c r="C16" s="168">
        <f>+SUM(D16:J16)</f>
        <v>0</v>
      </c>
      <c r="D16" s="169">
        <v>0</v>
      </c>
      <c r="E16" s="169"/>
      <c r="F16" s="169">
        <v>0</v>
      </c>
      <c r="G16" s="77"/>
      <c r="H16" s="169"/>
      <c r="I16" s="169"/>
      <c r="J16" s="169"/>
      <c r="K16" s="168"/>
      <c r="L16" s="168"/>
      <c r="O16" s="170">
        <v>1951049</v>
      </c>
      <c r="P16" s="170">
        <f>C133+C149+C160</f>
        <v>0</v>
      </c>
      <c r="Q16" s="170">
        <f>O16-P16-C16</f>
        <v>1951049</v>
      </c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</row>
    <row r="17" spans="1:14" ht="14.25" customHeight="1">
      <c r="A17" s="164">
        <v>32</v>
      </c>
      <c r="B17" s="153" t="s">
        <v>22</v>
      </c>
      <c r="C17" s="74">
        <f>C23+C30+C40+C42+C18</f>
        <v>89800483</v>
      </c>
      <c r="D17" s="154">
        <f aca="true" t="shared" si="5" ref="D17:J17">D23+D30+D40+D42+D18</f>
        <v>0</v>
      </c>
      <c r="E17" s="154">
        <f t="shared" si="5"/>
        <v>45000</v>
      </c>
      <c r="F17" s="154">
        <f t="shared" si="5"/>
        <v>42826250</v>
      </c>
      <c r="G17" s="74">
        <f t="shared" si="5"/>
        <v>46517233</v>
      </c>
      <c r="H17" s="154">
        <f t="shared" si="5"/>
        <v>400000</v>
      </c>
      <c r="I17" s="154">
        <f t="shared" si="5"/>
        <v>12000</v>
      </c>
      <c r="J17" s="154">
        <f t="shared" si="5"/>
        <v>0</v>
      </c>
      <c r="K17" s="154">
        <v>85400000</v>
      </c>
      <c r="L17" s="154">
        <v>85400000</v>
      </c>
      <c r="M17" s="156">
        <v>0</v>
      </c>
      <c r="N17" s="156">
        <v>0</v>
      </c>
    </row>
    <row r="18" spans="1:29" s="155" customFormat="1" ht="14.25" customHeight="1">
      <c r="A18" s="164">
        <v>321</v>
      </c>
      <c r="B18" s="153" t="s">
        <v>23</v>
      </c>
      <c r="C18" s="154">
        <f>SUM(C19:C22)</f>
        <v>5145000</v>
      </c>
      <c r="D18" s="154">
        <f>SUM(D19:D22)</f>
        <v>0</v>
      </c>
      <c r="E18" s="154">
        <f aca="true" t="shared" si="6" ref="E18:J18">SUM(E19:E22)</f>
        <v>0</v>
      </c>
      <c r="F18" s="154">
        <f>SUM(F19:F22)</f>
        <v>5045000</v>
      </c>
      <c r="G18" s="74">
        <f t="shared" si="6"/>
        <v>0</v>
      </c>
      <c r="H18" s="154">
        <f t="shared" si="6"/>
        <v>100000</v>
      </c>
      <c r="I18" s="154">
        <f t="shared" si="6"/>
        <v>0</v>
      </c>
      <c r="J18" s="154">
        <f t="shared" si="6"/>
        <v>0</v>
      </c>
      <c r="K18" s="154"/>
      <c r="L18" s="154"/>
      <c r="Q18" s="156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17" ht="15.75" customHeight="1" hidden="1">
      <c r="A19" s="161">
        <v>3211</v>
      </c>
      <c r="B19" s="159" t="s">
        <v>49</v>
      </c>
      <c r="C19" s="160">
        <f>+SUM(D19:J19)</f>
        <v>80000</v>
      </c>
      <c r="D19" s="162"/>
      <c r="E19" s="162"/>
      <c r="F19" s="162">
        <v>80000</v>
      </c>
      <c r="G19" s="75"/>
      <c r="H19" s="162"/>
      <c r="I19" s="162"/>
      <c r="J19" s="162"/>
      <c r="K19" s="160"/>
      <c r="L19" s="160"/>
      <c r="M19" s="156">
        <v>0</v>
      </c>
      <c r="N19" s="156">
        <v>0</v>
      </c>
      <c r="O19" s="156">
        <v>20000</v>
      </c>
      <c r="P19" s="156">
        <f>0</f>
        <v>0</v>
      </c>
      <c r="Q19" s="156">
        <f>O19-P19-C19</f>
        <v>-60000</v>
      </c>
    </row>
    <row r="20" spans="1:17" ht="15.75" customHeight="1" hidden="1">
      <c r="A20" s="161">
        <v>3212</v>
      </c>
      <c r="B20" s="159" t="s">
        <v>50</v>
      </c>
      <c r="C20" s="160">
        <f>+SUM(D20:J20)</f>
        <v>4700000</v>
      </c>
      <c r="D20" s="162"/>
      <c r="E20" s="162"/>
      <c r="F20" s="162">
        <v>4700000</v>
      </c>
      <c r="G20" s="75"/>
      <c r="H20" s="162"/>
      <c r="I20" s="162"/>
      <c r="J20" s="162"/>
      <c r="K20" s="160"/>
      <c r="L20" s="160"/>
      <c r="O20" s="156">
        <v>3000000</v>
      </c>
      <c r="P20" s="156">
        <f>0</f>
        <v>0</v>
      </c>
      <c r="Q20" s="156">
        <f>O20-P20-C20</f>
        <v>-1700000</v>
      </c>
    </row>
    <row r="21" spans="1:17" ht="15.75" customHeight="1" hidden="1">
      <c r="A21" s="161">
        <v>3213</v>
      </c>
      <c r="B21" s="159" t="s">
        <v>51</v>
      </c>
      <c r="C21" s="160">
        <f>+SUM(D21:J21)</f>
        <v>330000</v>
      </c>
      <c r="D21" s="162"/>
      <c r="E21" s="162"/>
      <c r="F21" s="162">
        <f>150000+80000</f>
        <v>230000</v>
      </c>
      <c r="G21" s="75"/>
      <c r="H21" s="162">
        <v>100000</v>
      </c>
      <c r="I21" s="162"/>
      <c r="J21" s="162"/>
      <c r="K21" s="160"/>
      <c r="L21" s="160"/>
      <c r="O21" s="156">
        <v>235000</v>
      </c>
      <c r="P21" s="156">
        <f>0</f>
        <v>0</v>
      </c>
      <c r="Q21" s="156">
        <f>O21-P21-C21</f>
        <v>-95000</v>
      </c>
    </row>
    <row r="22" spans="1:17" ht="15" customHeight="1" hidden="1">
      <c r="A22" s="161">
        <v>3214</v>
      </c>
      <c r="B22" s="159" t="s">
        <v>52</v>
      </c>
      <c r="C22" s="160">
        <f>+SUM(D22:J22)</f>
        <v>35000</v>
      </c>
      <c r="D22" s="162"/>
      <c r="E22" s="162"/>
      <c r="F22" s="162">
        <v>35000</v>
      </c>
      <c r="G22" s="75"/>
      <c r="H22" s="162"/>
      <c r="I22" s="162"/>
      <c r="J22" s="162"/>
      <c r="K22" s="160"/>
      <c r="L22" s="160"/>
      <c r="O22" s="156">
        <v>20000</v>
      </c>
      <c r="P22" s="156">
        <f>C136</f>
        <v>25000</v>
      </c>
      <c r="Q22" s="156">
        <f>O22-P22-C22</f>
        <v>-40000</v>
      </c>
    </row>
    <row r="23" spans="1:29" s="155" customFormat="1" ht="14.25" customHeight="1">
      <c r="A23" s="164">
        <v>322</v>
      </c>
      <c r="B23" s="153" t="s">
        <v>24</v>
      </c>
      <c r="C23" s="154">
        <f>SUM(C24:C29)</f>
        <v>69037883</v>
      </c>
      <c r="D23" s="154">
        <f aca="true" t="shared" si="7" ref="D23:J23">SUM(D24:D29)</f>
        <v>0</v>
      </c>
      <c r="E23" s="154">
        <f t="shared" si="7"/>
        <v>0</v>
      </c>
      <c r="F23" s="154">
        <f t="shared" si="7"/>
        <v>22308650</v>
      </c>
      <c r="G23" s="74">
        <f t="shared" si="7"/>
        <v>46417233</v>
      </c>
      <c r="H23" s="154">
        <f>SUM(H24:H29)</f>
        <v>300000</v>
      </c>
      <c r="I23" s="154">
        <f t="shared" si="7"/>
        <v>12000</v>
      </c>
      <c r="J23" s="154">
        <f t="shared" si="7"/>
        <v>0</v>
      </c>
      <c r="K23" s="154"/>
      <c r="L23" s="154"/>
      <c r="M23" s="155">
        <v>0</v>
      </c>
      <c r="N23" s="155">
        <v>0</v>
      </c>
      <c r="Q23" s="156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17" ht="28.5" customHeight="1" hidden="1">
      <c r="A24" s="161">
        <v>3221</v>
      </c>
      <c r="B24" s="159" t="s">
        <v>53</v>
      </c>
      <c r="C24" s="160">
        <f aca="true" t="shared" si="8" ref="C24:C29">+SUM(D24:J24)</f>
        <v>1313000</v>
      </c>
      <c r="D24" s="162"/>
      <c r="E24" s="162"/>
      <c r="F24" s="162">
        <f>1280000+33000</f>
        <v>1313000</v>
      </c>
      <c r="G24" s="75"/>
      <c r="H24" s="162"/>
      <c r="I24" s="162"/>
      <c r="J24" s="162"/>
      <c r="K24" s="160"/>
      <c r="L24" s="160"/>
      <c r="O24" s="156">
        <v>927500</v>
      </c>
      <c r="Q24" s="156">
        <f aca="true" t="shared" si="9" ref="Q24:Q29">O24-P24-C24</f>
        <v>-385500</v>
      </c>
    </row>
    <row r="25" spans="1:17" ht="15.75" customHeight="1" hidden="1">
      <c r="A25" s="78">
        <v>3222</v>
      </c>
      <c r="B25" s="79" t="s">
        <v>54</v>
      </c>
      <c r="C25" s="160">
        <f>+SUM(D25:J25)</f>
        <v>51797983</v>
      </c>
      <c r="D25" s="162"/>
      <c r="E25" s="162"/>
      <c r="F25" s="162">
        <f>47464000-37409180-300000-500000-339530-33000+7300</f>
        <v>8889590</v>
      </c>
      <c r="G25" s="75">
        <f>41662180+339530+33000+581000-7300-17</f>
        <v>42608393</v>
      </c>
      <c r="H25" s="162">
        <f>280000+20000</f>
        <v>300000</v>
      </c>
      <c r="I25" s="162"/>
      <c r="J25" s="162"/>
      <c r="K25" s="160"/>
      <c r="L25" s="160"/>
      <c r="O25" s="156">
        <v>37008340</v>
      </c>
      <c r="Q25" s="156">
        <f t="shared" si="9"/>
        <v>-14789643</v>
      </c>
    </row>
    <row r="26" spans="1:17" ht="15" customHeight="1" hidden="1">
      <c r="A26" s="161">
        <v>3223</v>
      </c>
      <c r="B26" s="159" t="s">
        <v>55</v>
      </c>
      <c r="C26" s="160">
        <f t="shared" si="8"/>
        <v>13344500</v>
      </c>
      <c r="D26" s="162"/>
      <c r="E26" s="162"/>
      <c r="F26" s="162">
        <f>10357500+901500+50700-15000-1755000+18750-22790</f>
        <v>9535660</v>
      </c>
      <c r="G26" s="75">
        <f>2987000-901500-50700+15000+1755000-18750+22790</f>
        <v>3808840</v>
      </c>
      <c r="H26" s="162"/>
      <c r="I26" s="162"/>
      <c r="J26" s="162"/>
      <c r="K26" s="160"/>
      <c r="L26" s="160"/>
      <c r="O26" s="156">
        <v>6582787</v>
      </c>
      <c r="Q26" s="156">
        <f t="shared" si="9"/>
        <v>-6761713</v>
      </c>
    </row>
    <row r="27" spans="1:17" ht="30" customHeight="1" hidden="1">
      <c r="A27" s="161">
        <v>3224</v>
      </c>
      <c r="B27" s="159" t="s">
        <v>56</v>
      </c>
      <c r="C27" s="160">
        <f t="shared" si="8"/>
        <v>2269000</v>
      </c>
      <c r="D27" s="162"/>
      <c r="E27" s="162"/>
      <c r="F27" s="162">
        <f>3170500-12000-901500</f>
        <v>2257000</v>
      </c>
      <c r="G27" s="75"/>
      <c r="H27" s="162"/>
      <c r="I27" s="162">
        <f>25000-13000</f>
        <v>12000</v>
      </c>
      <c r="J27" s="162"/>
      <c r="K27" s="160"/>
      <c r="L27" s="160"/>
      <c r="O27" s="156">
        <v>1548688</v>
      </c>
      <c r="Q27" s="156">
        <f t="shared" si="9"/>
        <v>-720312</v>
      </c>
    </row>
    <row r="28" spans="1:17" ht="14.25" customHeight="1" hidden="1">
      <c r="A28" s="161">
        <v>3225</v>
      </c>
      <c r="B28" s="159" t="s">
        <v>57</v>
      </c>
      <c r="C28" s="160">
        <f t="shared" si="8"/>
        <v>277300</v>
      </c>
      <c r="D28" s="162"/>
      <c r="E28" s="162"/>
      <c r="F28" s="162">
        <f>328000-50700</f>
        <v>277300</v>
      </c>
      <c r="G28" s="75"/>
      <c r="H28" s="162"/>
      <c r="I28" s="162"/>
      <c r="J28" s="162"/>
      <c r="K28" s="160"/>
      <c r="L28" s="160"/>
      <c r="O28" s="156">
        <v>249750</v>
      </c>
      <c r="Q28" s="156">
        <f t="shared" si="9"/>
        <v>-27550</v>
      </c>
    </row>
    <row r="29" spans="1:17" ht="15.75" customHeight="1" hidden="1">
      <c r="A29" s="161">
        <v>3227</v>
      </c>
      <c r="B29" s="159" t="s">
        <v>58</v>
      </c>
      <c r="C29" s="160">
        <f t="shared" si="8"/>
        <v>36100</v>
      </c>
      <c r="D29" s="162"/>
      <c r="E29" s="162"/>
      <c r="F29" s="162">
        <f>25000+11100</f>
        <v>36100</v>
      </c>
      <c r="G29" s="75"/>
      <c r="H29" s="162"/>
      <c r="I29" s="162"/>
      <c r="J29" s="162"/>
      <c r="K29" s="160"/>
      <c r="L29" s="160"/>
      <c r="O29" s="156">
        <v>212500</v>
      </c>
      <c r="Q29" s="156">
        <f t="shared" si="9"/>
        <v>176400</v>
      </c>
    </row>
    <row r="30" spans="1:29" s="155" customFormat="1" ht="17.25" customHeight="1">
      <c r="A30" s="164">
        <v>323</v>
      </c>
      <c r="B30" s="153" t="s">
        <v>25</v>
      </c>
      <c r="C30" s="154">
        <f>SUM(C31:C39)</f>
        <v>14571100</v>
      </c>
      <c r="D30" s="154">
        <f aca="true" t="shared" si="10" ref="D30:J30">SUM(D31:D39)</f>
        <v>0</v>
      </c>
      <c r="E30" s="154">
        <f t="shared" si="10"/>
        <v>0</v>
      </c>
      <c r="F30" s="154">
        <f>SUM(F31:F39)</f>
        <v>14571100</v>
      </c>
      <c r="G30" s="74">
        <f t="shared" si="10"/>
        <v>0</v>
      </c>
      <c r="H30" s="154">
        <f t="shared" si="10"/>
        <v>0</v>
      </c>
      <c r="I30" s="154">
        <f t="shared" si="10"/>
        <v>0</v>
      </c>
      <c r="J30" s="154">
        <f t="shared" si="10"/>
        <v>0</v>
      </c>
      <c r="K30" s="154"/>
      <c r="L30" s="154"/>
      <c r="Q30" s="156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17" ht="15.75" customHeight="1" hidden="1">
      <c r="A31" s="161">
        <v>3231</v>
      </c>
      <c r="B31" s="159" t="s">
        <v>59</v>
      </c>
      <c r="C31" s="160">
        <f aca="true" t="shared" si="11" ref="C31:C39">+SUM(D31:J31)</f>
        <v>541250</v>
      </c>
      <c r="D31" s="162"/>
      <c r="E31" s="162"/>
      <c r="F31" s="162">
        <f>526250+15000</f>
        <v>541250</v>
      </c>
      <c r="G31" s="75">
        <v>0</v>
      </c>
      <c r="H31" s="162"/>
      <c r="I31" s="162"/>
      <c r="J31" s="162"/>
      <c r="K31" s="160"/>
      <c r="L31" s="160"/>
      <c r="O31" s="156">
        <v>364750</v>
      </c>
      <c r="Q31" s="156">
        <f aca="true" t="shared" si="12" ref="Q31:Q39">O31-P31-C31</f>
        <v>-176500</v>
      </c>
    </row>
    <row r="32" spans="1:17" ht="15" customHeight="1" hidden="1">
      <c r="A32" s="161">
        <v>3232</v>
      </c>
      <c r="B32" s="159" t="s">
        <v>60</v>
      </c>
      <c r="C32" s="160">
        <f t="shared" si="11"/>
        <v>2910100</v>
      </c>
      <c r="D32" s="162"/>
      <c r="E32" s="162"/>
      <c r="F32" s="162">
        <f>1155100+1755000</f>
        <v>2910100</v>
      </c>
      <c r="G32" s="75"/>
      <c r="H32" s="162"/>
      <c r="I32" s="162"/>
      <c r="J32" s="162"/>
      <c r="K32" s="160"/>
      <c r="L32" s="160"/>
      <c r="O32" s="156">
        <v>3235180</v>
      </c>
      <c r="P32" s="156">
        <v>2001720</v>
      </c>
      <c r="Q32" s="156">
        <f t="shared" si="12"/>
        <v>-1676640</v>
      </c>
    </row>
    <row r="33" spans="1:12" ht="15" customHeight="1" hidden="1">
      <c r="A33" s="161">
        <v>3233</v>
      </c>
      <c r="B33" s="159" t="s">
        <v>137</v>
      </c>
      <c r="C33" s="160">
        <f t="shared" si="11"/>
        <v>0</v>
      </c>
      <c r="D33" s="162"/>
      <c r="E33" s="162"/>
      <c r="F33" s="162">
        <v>0</v>
      </c>
      <c r="G33" s="75"/>
      <c r="H33" s="162"/>
      <c r="I33" s="162"/>
      <c r="J33" s="162"/>
      <c r="K33" s="160"/>
      <c r="L33" s="160"/>
    </row>
    <row r="34" spans="1:17" ht="17.25" customHeight="1" hidden="1">
      <c r="A34" s="161">
        <v>3234</v>
      </c>
      <c r="B34" s="159" t="s">
        <v>61</v>
      </c>
      <c r="C34" s="160">
        <f t="shared" si="11"/>
        <v>3489000</v>
      </c>
      <c r="D34" s="162"/>
      <c r="E34" s="162"/>
      <c r="F34" s="162">
        <f>3507750-18750</f>
        <v>3489000</v>
      </c>
      <c r="G34" s="75"/>
      <c r="H34" s="162"/>
      <c r="I34" s="162"/>
      <c r="J34" s="162"/>
      <c r="K34" s="160"/>
      <c r="L34" s="160"/>
      <c r="O34" s="156">
        <v>3446125</v>
      </c>
      <c r="Q34" s="156">
        <f t="shared" si="12"/>
        <v>-42875</v>
      </c>
    </row>
    <row r="35" spans="1:17" ht="15.75" customHeight="1" hidden="1">
      <c r="A35" s="161">
        <v>3235</v>
      </c>
      <c r="B35" s="159" t="s">
        <v>62</v>
      </c>
      <c r="C35" s="160">
        <f t="shared" si="11"/>
        <v>1004750</v>
      </c>
      <c r="D35" s="162"/>
      <c r="E35" s="162"/>
      <c r="F35" s="162">
        <v>1004750</v>
      </c>
      <c r="G35" s="75"/>
      <c r="H35" s="162"/>
      <c r="I35" s="162"/>
      <c r="J35" s="162"/>
      <c r="K35" s="160"/>
      <c r="L35" s="160"/>
      <c r="O35" s="156">
        <v>35788</v>
      </c>
      <c r="Q35" s="156">
        <f t="shared" si="12"/>
        <v>-968962</v>
      </c>
    </row>
    <row r="36" spans="1:17" ht="15.75" customHeight="1" hidden="1">
      <c r="A36" s="161">
        <v>3236</v>
      </c>
      <c r="B36" s="159" t="s">
        <v>63</v>
      </c>
      <c r="C36" s="160">
        <f t="shared" si="11"/>
        <v>2362800</v>
      </c>
      <c r="D36" s="162"/>
      <c r="E36" s="162"/>
      <c r="F36" s="162">
        <f>2340010+22790</f>
        <v>2362800</v>
      </c>
      <c r="G36" s="75"/>
      <c r="H36" s="162"/>
      <c r="I36" s="162"/>
      <c r="J36" s="162"/>
      <c r="K36" s="160"/>
      <c r="L36" s="160"/>
      <c r="O36" s="156">
        <v>2345084</v>
      </c>
      <c r="Q36" s="156">
        <f t="shared" si="12"/>
        <v>-17716</v>
      </c>
    </row>
    <row r="37" spans="1:17" ht="18.75" customHeight="1" hidden="1">
      <c r="A37" s="161">
        <v>3237</v>
      </c>
      <c r="B37" s="159" t="s">
        <v>64</v>
      </c>
      <c r="C37" s="160">
        <f t="shared" si="11"/>
        <v>1629300</v>
      </c>
      <c r="D37" s="162"/>
      <c r="E37" s="162"/>
      <c r="F37" s="162">
        <v>1629300</v>
      </c>
      <c r="G37" s="75"/>
      <c r="H37" s="162"/>
      <c r="I37" s="162"/>
      <c r="J37" s="162"/>
      <c r="K37" s="160"/>
      <c r="L37" s="160"/>
      <c r="O37" s="156">
        <v>885000</v>
      </c>
      <c r="Q37" s="156">
        <f t="shared" si="12"/>
        <v>-744300</v>
      </c>
    </row>
    <row r="38" spans="1:17" ht="16.5" customHeight="1" hidden="1">
      <c r="A38" s="161">
        <v>3238</v>
      </c>
      <c r="B38" s="159" t="s">
        <v>65</v>
      </c>
      <c r="C38" s="160">
        <f t="shared" si="11"/>
        <v>1117000</v>
      </c>
      <c r="D38" s="162"/>
      <c r="E38" s="162"/>
      <c r="F38" s="162">
        <v>1117000</v>
      </c>
      <c r="G38" s="75"/>
      <c r="H38" s="162"/>
      <c r="I38" s="162"/>
      <c r="J38" s="162"/>
      <c r="K38" s="160"/>
      <c r="L38" s="160"/>
      <c r="O38" s="156">
        <v>859913</v>
      </c>
      <c r="Q38" s="156">
        <f t="shared" si="12"/>
        <v>-257087</v>
      </c>
    </row>
    <row r="39" spans="1:17" ht="15" customHeight="1" hidden="1">
      <c r="A39" s="161">
        <v>3239</v>
      </c>
      <c r="B39" s="172" t="s">
        <v>66</v>
      </c>
      <c r="C39" s="160">
        <f t="shared" si="11"/>
        <v>1516900</v>
      </c>
      <c r="D39" s="162"/>
      <c r="E39" s="162"/>
      <c r="F39" s="162">
        <v>1516900</v>
      </c>
      <c r="G39" s="75"/>
      <c r="H39" s="162"/>
      <c r="I39" s="162"/>
      <c r="J39" s="162"/>
      <c r="K39" s="160"/>
      <c r="L39" s="160"/>
      <c r="O39" s="156">
        <v>1076719</v>
      </c>
      <c r="Q39" s="156">
        <f t="shared" si="12"/>
        <v>-440181</v>
      </c>
    </row>
    <row r="40" spans="1:29" s="155" customFormat="1" ht="27.75" customHeight="1">
      <c r="A40" s="164">
        <v>324</v>
      </c>
      <c r="B40" s="153" t="s">
        <v>67</v>
      </c>
      <c r="C40" s="154">
        <f aca="true" t="shared" si="13" ref="C40:J40">C41</f>
        <v>0</v>
      </c>
      <c r="D40" s="154">
        <f t="shared" si="13"/>
        <v>0</v>
      </c>
      <c r="E40" s="154">
        <f t="shared" si="13"/>
        <v>0</v>
      </c>
      <c r="F40" s="154">
        <f t="shared" si="13"/>
        <v>0</v>
      </c>
      <c r="G40" s="154">
        <f t="shared" si="13"/>
        <v>0</v>
      </c>
      <c r="H40" s="154">
        <f t="shared" si="13"/>
        <v>0</v>
      </c>
      <c r="I40" s="154">
        <f t="shared" si="13"/>
        <v>0</v>
      </c>
      <c r="J40" s="154">
        <f t="shared" si="13"/>
        <v>0</v>
      </c>
      <c r="K40" s="154"/>
      <c r="L40" s="154"/>
      <c r="Q40" s="156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17" ht="30.75" customHeight="1" hidden="1">
      <c r="A41" s="161">
        <v>3241</v>
      </c>
      <c r="B41" s="159" t="s">
        <v>67</v>
      </c>
      <c r="C41" s="160">
        <f>+SUM(D41:J41)</f>
        <v>0</v>
      </c>
      <c r="D41" s="160"/>
      <c r="E41" s="160"/>
      <c r="F41" s="160"/>
      <c r="G41" s="75">
        <v>0</v>
      </c>
      <c r="H41" s="162"/>
      <c r="I41" s="162"/>
      <c r="J41" s="162"/>
      <c r="K41" s="160"/>
      <c r="L41" s="160"/>
      <c r="O41" s="156">
        <v>595000</v>
      </c>
      <c r="Q41" s="156">
        <f>O41-P41-C41</f>
        <v>595000</v>
      </c>
    </row>
    <row r="42" spans="1:29" s="155" customFormat="1" ht="25.5" customHeight="1">
      <c r="A42" s="164">
        <v>329</v>
      </c>
      <c r="B42" s="153" t="s">
        <v>26</v>
      </c>
      <c r="C42" s="154">
        <f>SUM(C43:C48)</f>
        <v>1046500</v>
      </c>
      <c r="D42" s="154">
        <f>SUM(D43:D48)</f>
        <v>0</v>
      </c>
      <c r="E42" s="154">
        <f aca="true" t="shared" si="14" ref="E42:J42">SUM(E43:E48)</f>
        <v>45000</v>
      </c>
      <c r="F42" s="154">
        <f t="shared" si="14"/>
        <v>901500</v>
      </c>
      <c r="G42" s="74">
        <f t="shared" si="14"/>
        <v>100000</v>
      </c>
      <c r="H42" s="154">
        <f t="shared" si="14"/>
        <v>0</v>
      </c>
      <c r="I42" s="154">
        <f t="shared" si="14"/>
        <v>0</v>
      </c>
      <c r="J42" s="154">
        <f t="shared" si="14"/>
        <v>0</v>
      </c>
      <c r="K42" s="154"/>
      <c r="L42" s="154"/>
      <c r="Q42" s="156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17" ht="29.25" customHeight="1" hidden="1">
      <c r="A43" s="161">
        <v>3291</v>
      </c>
      <c r="B43" s="159" t="s">
        <v>68</v>
      </c>
      <c r="C43" s="160">
        <f aca="true" t="shared" si="15" ref="C43:C48">+SUM(D43:J43)</f>
        <v>94000</v>
      </c>
      <c r="D43" s="160"/>
      <c r="E43" s="160"/>
      <c r="F43" s="160">
        <v>94000</v>
      </c>
      <c r="G43" s="80"/>
      <c r="H43" s="160"/>
      <c r="I43" s="160"/>
      <c r="J43" s="160"/>
      <c r="K43" s="160"/>
      <c r="L43" s="160"/>
      <c r="O43" s="156">
        <v>90000</v>
      </c>
      <c r="Q43" s="156">
        <f>O43-P43-C43</f>
        <v>-4000</v>
      </c>
    </row>
    <row r="44" spans="1:17" ht="17.25" customHeight="1" hidden="1">
      <c r="A44" s="161">
        <v>3292</v>
      </c>
      <c r="B44" s="159" t="s">
        <v>69</v>
      </c>
      <c r="C44" s="160">
        <f t="shared" si="15"/>
        <v>640500</v>
      </c>
      <c r="D44" s="160"/>
      <c r="E44" s="160"/>
      <c r="F44" s="160">
        <v>640500</v>
      </c>
      <c r="G44" s="80"/>
      <c r="H44" s="160"/>
      <c r="I44" s="160"/>
      <c r="J44" s="160"/>
      <c r="K44" s="160"/>
      <c r="L44" s="160"/>
      <c r="O44" s="156">
        <v>229334</v>
      </c>
      <c r="Q44" s="156">
        <f>O44-P44-C44</f>
        <v>-411166</v>
      </c>
    </row>
    <row r="45" spans="1:17" ht="17.25" customHeight="1" hidden="1">
      <c r="A45" s="161">
        <v>3294</v>
      </c>
      <c r="B45" s="159" t="s">
        <v>70</v>
      </c>
      <c r="C45" s="160">
        <f t="shared" si="15"/>
        <v>30000</v>
      </c>
      <c r="D45" s="160"/>
      <c r="E45" s="160">
        <v>30000</v>
      </c>
      <c r="F45" s="160"/>
      <c r="G45" s="80"/>
      <c r="H45" s="160"/>
      <c r="I45" s="160"/>
      <c r="J45" s="160"/>
      <c r="K45" s="160"/>
      <c r="L45" s="160"/>
      <c r="O45" s="156">
        <v>20000</v>
      </c>
      <c r="Q45" s="156">
        <f>O45-P45-C45</f>
        <v>-10000</v>
      </c>
    </row>
    <row r="46" spans="1:17" ht="18" customHeight="1" hidden="1">
      <c r="A46" s="161">
        <v>3295</v>
      </c>
      <c r="B46" s="159" t="s">
        <v>71</v>
      </c>
      <c r="C46" s="160">
        <f t="shared" si="15"/>
        <v>167000</v>
      </c>
      <c r="D46" s="160"/>
      <c r="E46" s="160">
        <v>0</v>
      </c>
      <c r="F46" s="160">
        <v>167000</v>
      </c>
      <c r="G46" s="80">
        <v>0</v>
      </c>
      <c r="H46" s="160"/>
      <c r="I46" s="160"/>
      <c r="J46" s="160"/>
      <c r="K46" s="160"/>
      <c r="L46" s="160"/>
      <c r="O46" s="156">
        <v>73100</v>
      </c>
      <c r="Q46" s="156">
        <f>O46-P46-C46</f>
        <v>-93900</v>
      </c>
    </row>
    <row r="47" spans="1:12" ht="18" customHeight="1" hidden="1">
      <c r="A47" s="161">
        <v>3296</v>
      </c>
      <c r="B47" s="159" t="s">
        <v>158</v>
      </c>
      <c r="C47" s="160">
        <f t="shared" si="15"/>
        <v>100000</v>
      </c>
      <c r="D47" s="160"/>
      <c r="E47" s="160"/>
      <c r="F47" s="160"/>
      <c r="G47" s="80">
        <v>100000</v>
      </c>
      <c r="H47" s="160"/>
      <c r="I47" s="160"/>
      <c r="J47" s="160"/>
      <c r="K47" s="160"/>
      <c r="L47" s="160"/>
    </row>
    <row r="48" spans="1:17" ht="17.25" customHeight="1" hidden="1">
      <c r="A48" s="161">
        <v>3299</v>
      </c>
      <c r="B48" s="159" t="s">
        <v>26</v>
      </c>
      <c r="C48" s="160">
        <f t="shared" si="15"/>
        <v>15000</v>
      </c>
      <c r="D48" s="160"/>
      <c r="E48" s="160">
        <v>15000</v>
      </c>
      <c r="F48" s="160"/>
      <c r="G48" s="80">
        <v>0</v>
      </c>
      <c r="H48" s="160"/>
      <c r="I48" s="160"/>
      <c r="J48" s="160"/>
      <c r="K48" s="160"/>
      <c r="L48" s="160"/>
      <c r="O48" s="156">
        <v>20000</v>
      </c>
      <c r="Q48" s="156">
        <f>O48-P48-C48</f>
        <v>5000</v>
      </c>
    </row>
    <row r="49" spans="1:12" ht="15.75">
      <c r="A49" s="164">
        <v>34</v>
      </c>
      <c r="B49" s="153" t="s">
        <v>72</v>
      </c>
      <c r="C49" s="154">
        <f>C52+C50</f>
        <v>2188000</v>
      </c>
      <c r="D49" s="154">
        <f aca="true" t="shared" si="16" ref="D49:I49">D52</f>
        <v>0</v>
      </c>
      <c r="E49" s="154">
        <f t="shared" si="16"/>
        <v>130000</v>
      </c>
      <c r="F49" s="154">
        <f t="shared" si="16"/>
        <v>2058000</v>
      </c>
      <c r="G49" s="74">
        <f t="shared" si="16"/>
        <v>0</v>
      </c>
      <c r="H49" s="154">
        <f t="shared" si="16"/>
        <v>0</v>
      </c>
      <c r="I49" s="154">
        <f t="shared" si="16"/>
        <v>0</v>
      </c>
      <c r="J49" s="154">
        <f>J52+J50</f>
        <v>0</v>
      </c>
      <c r="K49" s="154">
        <v>2188000</v>
      </c>
      <c r="L49" s="154">
        <v>2188000</v>
      </c>
    </row>
    <row r="50" spans="1:12" ht="33.75" customHeight="1">
      <c r="A50" s="164">
        <v>342</v>
      </c>
      <c r="B50" s="153" t="s">
        <v>97</v>
      </c>
      <c r="C50" s="154">
        <f>C51</f>
        <v>0</v>
      </c>
      <c r="D50" s="154">
        <f aca="true" t="shared" si="17" ref="D50:J50">D51</f>
        <v>0</v>
      </c>
      <c r="E50" s="154">
        <f t="shared" si="17"/>
        <v>0</v>
      </c>
      <c r="F50" s="154">
        <f t="shared" si="17"/>
        <v>0</v>
      </c>
      <c r="G50" s="74">
        <f t="shared" si="17"/>
        <v>0</v>
      </c>
      <c r="H50" s="154">
        <f t="shared" si="17"/>
        <v>0</v>
      </c>
      <c r="I50" s="154">
        <f t="shared" si="17"/>
        <v>0</v>
      </c>
      <c r="J50" s="154">
        <f t="shared" si="17"/>
        <v>0</v>
      </c>
      <c r="K50" s="154"/>
      <c r="L50" s="154"/>
    </row>
    <row r="51" spans="1:12" ht="45.75" customHeight="1" hidden="1">
      <c r="A51" s="161">
        <v>3423</v>
      </c>
      <c r="B51" s="159" t="s">
        <v>98</v>
      </c>
      <c r="C51" s="160">
        <f>SUM(D51:J51)</f>
        <v>0</v>
      </c>
      <c r="D51" s="160"/>
      <c r="E51" s="160"/>
      <c r="F51" s="160"/>
      <c r="G51" s="80"/>
      <c r="H51" s="160"/>
      <c r="I51" s="160"/>
      <c r="J51" s="160">
        <v>0</v>
      </c>
      <c r="K51" s="160"/>
      <c r="L51" s="160"/>
    </row>
    <row r="52" spans="1:29" s="155" customFormat="1" ht="15" customHeight="1">
      <c r="A52" s="164">
        <v>343</v>
      </c>
      <c r="B52" s="153" t="s">
        <v>27</v>
      </c>
      <c r="C52" s="154">
        <f>SUM(C53:C56)</f>
        <v>2188000</v>
      </c>
      <c r="D52" s="154">
        <f aca="true" t="shared" si="18" ref="D52:I52">D53+D55+D56</f>
        <v>0</v>
      </c>
      <c r="E52" s="154">
        <f t="shared" si="18"/>
        <v>130000</v>
      </c>
      <c r="F52" s="154">
        <f t="shared" si="18"/>
        <v>2058000</v>
      </c>
      <c r="G52" s="154">
        <f t="shared" si="18"/>
        <v>0</v>
      </c>
      <c r="H52" s="154">
        <f t="shared" si="18"/>
        <v>0</v>
      </c>
      <c r="I52" s="154">
        <f t="shared" si="18"/>
        <v>0</v>
      </c>
      <c r="J52" s="154">
        <f>SUM(J53:J56)</f>
        <v>0</v>
      </c>
      <c r="K52" s="154"/>
      <c r="L52" s="154"/>
      <c r="Q52" s="156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</row>
    <row r="53" spans="1:17" ht="28.5" customHeight="1" hidden="1">
      <c r="A53" s="161">
        <v>3431</v>
      </c>
      <c r="B53" s="159" t="s">
        <v>73</v>
      </c>
      <c r="C53" s="160">
        <f>+SUM(D53:J53)</f>
        <v>120000</v>
      </c>
      <c r="D53" s="160"/>
      <c r="E53" s="160">
        <v>120000</v>
      </c>
      <c r="F53" s="160"/>
      <c r="G53" s="80">
        <v>0</v>
      </c>
      <c r="H53" s="160"/>
      <c r="I53" s="160"/>
      <c r="J53" s="160">
        <v>0</v>
      </c>
      <c r="K53" s="160"/>
      <c r="L53" s="160"/>
      <c r="O53" s="156">
        <v>21500</v>
      </c>
      <c r="Q53" s="156">
        <f>O53-P53-C53</f>
        <v>-98500</v>
      </c>
    </row>
    <row r="54" spans="1:12" ht="28.5" customHeight="1" hidden="1">
      <c r="A54" s="161">
        <v>3432</v>
      </c>
      <c r="B54" s="159" t="s">
        <v>99</v>
      </c>
      <c r="C54" s="160">
        <f>+SUM(D54:J54)</f>
        <v>0</v>
      </c>
      <c r="D54" s="160"/>
      <c r="E54" s="160"/>
      <c r="F54" s="160"/>
      <c r="G54" s="80"/>
      <c r="H54" s="160"/>
      <c r="I54" s="160"/>
      <c r="J54" s="160">
        <v>0</v>
      </c>
      <c r="K54" s="160"/>
      <c r="L54" s="160"/>
    </row>
    <row r="55" spans="1:12" ht="15.75" customHeight="1" hidden="1">
      <c r="A55" s="161">
        <v>3433</v>
      </c>
      <c r="B55" s="159" t="s">
        <v>120</v>
      </c>
      <c r="C55" s="160">
        <f>+SUM(D55:J55)</f>
        <v>2058000</v>
      </c>
      <c r="D55" s="160"/>
      <c r="E55" s="160">
        <v>0</v>
      </c>
      <c r="F55" s="160">
        <f>2000000+48000+10000</f>
        <v>2058000</v>
      </c>
      <c r="G55" s="80">
        <v>0</v>
      </c>
      <c r="H55" s="160"/>
      <c r="I55" s="160"/>
      <c r="J55" s="160"/>
      <c r="K55" s="160"/>
      <c r="L55" s="160"/>
    </row>
    <row r="56" spans="1:12" ht="15.75" customHeight="1" hidden="1">
      <c r="A56" s="161">
        <v>3434</v>
      </c>
      <c r="B56" s="159" t="s">
        <v>135</v>
      </c>
      <c r="C56" s="160">
        <f>+SUM(D56:J56)</f>
        <v>10000</v>
      </c>
      <c r="D56" s="160"/>
      <c r="E56" s="160">
        <v>10000</v>
      </c>
      <c r="F56" s="160"/>
      <c r="G56" s="80"/>
      <c r="H56" s="160"/>
      <c r="I56" s="160"/>
      <c r="J56" s="160"/>
      <c r="K56" s="160"/>
      <c r="L56" s="160"/>
    </row>
    <row r="57" spans="1:12" ht="15.75">
      <c r="A57" s="164">
        <v>38</v>
      </c>
      <c r="B57" s="153" t="s">
        <v>74</v>
      </c>
      <c r="C57" s="154">
        <f>C58</f>
        <v>100000</v>
      </c>
      <c r="D57" s="154">
        <f aca="true" t="shared" si="19" ref="D57:J57">D58</f>
        <v>0</v>
      </c>
      <c r="E57" s="154">
        <f t="shared" si="19"/>
        <v>0</v>
      </c>
      <c r="F57" s="154">
        <f t="shared" si="19"/>
        <v>100000</v>
      </c>
      <c r="G57" s="74">
        <f t="shared" si="19"/>
        <v>0</v>
      </c>
      <c r="H57" s="154">
        <f t="shared" si="19"/>
        <v>0</v>
      </c>
      <c r="I57" s="154">
        <f t="shared" si="19"/>
        <v>0</v>
      </c>
      <c r="J57" s="154">
        <f t="shared" si="19"/>
        <v>0</v>
      </c>
      <c r="K57" s="154">
        <v>100000</v>
      </c>
      <c r="L57" s="154">
        <v>100000</v>
      </c>
    </row>
    <row r="58" spans="1:12" ht="15.75">
      <c r="A58" s="164">
        <v>383</v>
      </c>
      <c r="B58" s="153" t="s">
        <v>75</v>
      </c>
      <c r="C58" s="154">
        <f>SUM(C59)</f>
        <v>100000</v>
      </c>
      <c r="D58" s="154">
        <f aca="true" t="shared" si="20" ref="D58:J58">SUM(D59)</f>
        <v>0</v>
      </c>
      <c r="E58" s="154">
        <f t="shared" si="20"/>
        <v>0</v>
      </c>
      <c r="F58" s="154">
        <f t="shared" si="20"/>
        <v>100000</v>
      </c>
      <c r="G58" s="74">
        <f t="shared" si="20"/>
        <v>0</v>
      </c>
      <c r="H58" s="154">
        <f t="shared" si="20"/>
        <v>0</v>
      </c>
      <c r="I58" s="154">
        <f t="shared" si="20"/>
        <v>0</v>
      </c>
      <c r="J58" s="154">
        <f t="shared" si="20"/>
        <v>0</v>
      </c>
      <c r="K58" s="154"/>
      <c r="L58" s="154"/>
    </row>
    <row r="59" spans="1:12" ht="25.5" customHeight="1" hidden="1">
      <c r="A59" s="161">
        <v>3831</v>
      </c>
      <c r="B59" s="159" t="s">
        <v>76</v>
      </c>
      <c r="C59" s="173">
        <f>+SUM(D59:J59)</f>
        <v>100000</v>
      </c>
      <c r="D59" s="160"/>
      <c r="E59" s="160"/>
      <c r="F59" s="160">
        <v>100000</v>
      </c>
      <c r="G59" s="80"/>
      <c r="H59" s="160"/>
      <c r="I59" s="160"/>
      <c r="J59" s="160"/>
      <c r="K59" s="160"/>
      <c r="L59" s="160"/>
    </row>
    <row r="60" spans="1:29" s="177" customFormat="1" ht="12.75" customHeight="1">
      <c r="A60" s="174">
        <v>4</v>
      </c>
      <c r="B60" s="175" t="s">
        <v>121</v>
      </c>
      <c r="C60" s="176">
        <f>C64+C72+C61</f>
        <v>460024</v>
      </c>
      <c r="D60" s="176">
        <f aca="true" t="shared" si="21" ref="D60:J60">D64+D72+D61</f>
        <v>0</v>
      </c>
      <c r="E60" s="176">
        <f t="shared" si="21"/>
        <v>51550</v>
      </c>
      <c r="F60" s="176">
        <f t="shared" si="21"/>
        <v>0</v>
      </c>
      <c r="G60" s="176">
        <f t="shared" si="21"/>
        <v>0</v>
      </c>
      <c r="H60" s="176">
        <f t="shared" si="21"/>
        <v>408474</v>
      </c>
      <c r="I60" s="176">
        <f t="shared" si="21"/>
        <v>0</v>
      </c>
      <c r="J60" s="176">
        <f t="shared" si="21"/>
        <v>0</v>
      </c>
      <c r="K60" s="176">
        <f>K72</f>
        <v>0</v>
      </c>
      <c r="L60" s="176">
        <f>L72</f>
        <v>0</v>
      </c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</row>
    <row r="61" spans="1:29" s="177" customFormat="1" ht="24.75" customHeight="1">
      <c r="A61" s="174">
        <v>41</v>
      </c>
      <c r="B61" s="175" t="s">
        <v>176</v>
      </c>
      <c r="C61" s="176">
        <f>C62</f>
        <v>0</v>
      </c>
      <c r="D61" s="176">
        <f aca="true" t="shared" si="22" ref="D61:J62">D62</f>
        <v>0</v>
      </c>
      <c r="E61" s="176">
        <f t="shared" si="22"/>
        <v>0</v>
      </c>
      <c r="F61" s="176">
        <f t="shared" si="22"/>
        <v>0</v>
      </c>
      <c r="G61" s="176">
        <f t="shared" si="22"/>
        <v>0</v>
      </c>
      <c r="H61" s="176">
        <f t="shared" si="22"/>
        <v>0</v>
      </c>
      <c r="I61" s="176">
        <f t="shared" si="22"/>
        <v>0</v>
      </c>
      <c r="J61" s="176">
        <f t="shared" si="22"/>
        <v>0</v>
      </c>
      <c r="K61" s="176"/>
      <c r="L61" s="176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</row>
    <row r="62" spans="1:29" s="177" customFormat="1" ht="12.75" customHeight="1">
      <c r="A62" s="174">
        <v>412</v>
      </c>
      <c r="B62" s="175" t="s">
        <v>177</v>
      </c>
      <c r="C62" s="176">
        <f>C63</f>
        <v>0</v>
      </c>
      <c r="D62" s="176">
        <f t="shared" si="22"/>
        <v>0</v>
      </c>
      <c r="E62" s="176">
        <f t="shared" si="22"/>
        <v>0</v>
      </c>
      <c r="F62" s="176">
        <f t="shared" si="22"/>
        <v>0</v>
      </c>
      <c r="G62" s="176">
        <f t="shared" si="22"/>
        <v>0</v>
      </c>
      <c r="H62" s="176">
        <f t="shared" si="22"/>
        <v>0</v>
      </c>
      <c r="I62" s="176">
        <f t="shared" si="22"/>
        <v>0</v>
      </c>
      <c r="J62" s="176">
        <f t="shared" si="22"/>
        <v>0</v>
      </c>
      <c r="K62" s="176"/>
      <c r="L62" s="176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</row>
    <row r="63" spans="1:29" s="181" customFormat="1" ht="12.75" customHeight="1" hidden="1">
      <c r="A63" s="178">
        <v>4123</v>
      </c>
      <c r="B63" s="179" t="s">
        <v>178</v>
      </c>
      <c r="C63" s="180">
        <f>SUM(D63:J63)</f>
        <v>0</v>
      </c>
      <c r="D63" s="180"/>
      <c r="E63" s="180">
        <v>0</v>
      </c>
      <c r="F63" s="180"/>
      <c r="G63" s="180"/>
      <c r="H63" s="180"/>
      <c r="I63" s="180"/>
      <c r="J63" s="180"/>
      <c r="K63" s="180"/>
      <c r="L63" s="180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</row>
    <row r="64" spans="1:29" s="177" customFormat="1" ht="27" customHeight="1">
      <c r="A64" s="174">
        <v>42</v>
      </c>
      <c r="B64" s="175" t="s">
        <v>124</v>
      </c>
      <c r="C64" s="176">
        <f>C65+C70</f>
        <v>460024</v>
      </c>
      <c r="D64" s="176">
        <f aca="true" t="shared" si="23" ref="D64:J64">D65+D70</f>
        <v>0</v>
      </c>
      <c r="E64" s="176">
        <f t="shared" si="23"/>
        <v>51550</v>
      </c>
      <c r="F64" s="176">
        <f t="shared" si="23"/>
        <v>0</v>
      </c>
      <c r="G64" s="176">
        <f t="shared" si="23"/>
        <v>0</v>
      </c>
      <c r="H64" s="176">
        <f t="shared" si="23"/>
        <v>408474</v>
      </c>
      <c r="I64" s="176">
        <f t="shared" si="23"/>
        <v>0</v>
      </c>
      <c r="J64" s="176">
        <f t="shared" si="23"/>
        <v>0</v>
      </c>
      <c r="K64" s="176"/>
      <c r="L64" s="176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 s="177" customFormat="1" ht="12.75" customHeight="1">
      <c r="A65" s="174">
        <v>422</v>
      </c>
      <c r="B65" s="175" t="s">
        <v>28</v>
      </c>
      <c r="C65" s="176">
        <f>C68+C66+C69+C67</f>
        <v>460024</v>
      </c>
      <c r="D65" s="176">
        <f>D68+D66+D69</f>
        <v>0</v>
      </c>
      <c r="E65" s="176">
        <f>E68+E66+E69+E67</f>
        <v>51550</v>
      </c>
      <c r="F65" s="176">
        <f>F68+F66+F69</f>
        <v>0</v>
      </c>
      <c r="G65" s="176">
        <f>G68+G66+G69</f>
        <v>0</v>
      </c>
      <c r="H65" s="176">
        <f>H68+H66+H69</f>
        <v>408474</v>
      </c>
      <c r="I65" s="176">
        <f>I68+I66+I69</f>
        <v>0</v>
      </c>
      <c r="J65" s="176">
        <f>J68+J66+J69</f>
        <v>0</v>
      </c>
      <c r="K65" s="176"/>
      <c r="L65" s="176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 s="177" customFormat="1" ht="0.75" customHeight="1">
      <c r="A66" s="178">
        <v>4221</v>
      </c>
      <c r="B66" s="179" t="s">
        <v>127</v>
      </c>
      <c r="C66" s="180">
        <f>SUM(D66:J66)</f>
        <v>29400</v>
      </c>
      <c r="D66" s="176"/>
      <c r="E66" s="180"/>
      <c r="F66" s="180"/>
      <c r="G66" s="176"/>
      <c r="H66" s="176">
        <v>29400</v>
      </c>
      <c r="I66" s="176"/>
      <c r="J66" s="176"/>
      <c r="K66" s="176"/>
      <c r="L66" s="176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 s="177" customFormat="1" ht="12.75" customHeight="1" hidden="1">
      <c r="A67" s="178">
        <v>4223</v>
      </c>
      <c r="B67" s="179" t="s">
        <v>100</v>
      </c>
      <c r="C67" s="180">
        <f>SUM(D67:J67)</f>
        <v>0</v>
      </c>
      <c r="D67" s="176"/>
      <c r="E67" s="180"/>
      <c r="F67" s="180"/>
      <c r="G67" s="176"/>
      <c r="H67" s="176"/>
      <c r="I67" s="176"/>
      <c r="J67" s="176"/>
      <c r="K67" s="176"/>
      <c r="L67" s="176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s="181" customFormat="1" ht="12.75" customHeight="1" hidden="1">
      <c r="A68" s="178">
        <v>4224</v>
      </c>
      <c r="B68" s="179" t="s">
        <v>87</v>
      </c>
      <c r="C68" s="180">
        <f>SUM(D68:J68)</f>
        <v>430624</v>
      </c>
      <c r="D68" s="180"/>
      <c r="E68" s="180">
        <v>51550</v>
      </c>
      <c r="F68" s="180"/>
      <c r="G68" s="180">
        <v>0</v>
      </c>
      <c r="H68" s="180">
        <f>379057+17</f>
        <v>379074</v>
      </c>
      <c r="I68" s="180">
        <v>0</v>
      </c>
      <c r="J68" s="180"/>
      <c r="K68" s="180"/>
      <c r="L68" s="180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</row>
    <row r="69" spans="1:29" s="181" customFormat="1" ht="12.75" customHeight="1" hidden="1">
      <c r="A69" s="178">
        <v>4227</v>
      </c>
      <c r="B69" s="179" t="s">
        <v>136</v>
      </c>
      <c r="C69" s="180">
        <f>SUM(D69:J69)</f>
        <v>0</v>
      </c>
      <c r="D69" s="180"/>
      <c r="E69" s="180"/>
      <c r="F69" s="180">
        <v>0</v>
      </c>
      <c r="G69" s="180"/>
      <c r="H69" s="180"/>
      <c r="I69" s="180"/>
      <c r="J69" s="180"/>
      <c r="K69" s="180"/>
      <c r="L69" s="180"/>
      <c r="R69" s="38"/>
      <c r="S69" s="163"/>
      <c r="T69" s="163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 s="177" customFormat="1" ht="12.75" customHeight="1">
      <c r="A70" s="174">
        <v>423</v>
      </c>
      <c r="B70" s="175" t="s">
        <v>153</v>
      </c>
      <c r="C70" s="176">
        <f>C71</f>
        <v>0</v>
      </c>
      <c r="D70" s="176">
        <f aca="true" t="shared" si="24" ref="D70:J70">D71</f>
        <v>0</v>
      </c>
      <c r="E70" s="176">
        <f t="shared" si="24"/>
        <v>0</v>
      </c>
      <c r="F70" s="176">
        <f t="shared" si="24"/>
        <v>0</v>
      </c>
      <c r="G70" s="176">
        <f t="shared" si="24"/>
        <v>0</v>
      </c>
      <c r="H70" s="176">
        <f t="shared" si="24"/>
        <v>0</v>
      </c>
      <c r="I70" s="176">
        <f t="shared" si="24"/>
        <v>0</v>
      </c>
      <c r="J70" s="176">
        <f t="shared" si="24"/>
        <v>0</v>
      </c>
      <c r="K70" s="176"/>
      <c r="L70" s="176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</row>
    <row r="71" spans="1:29" s="181" customFormat="1" ht="12.75" customHeight="1" hidden="1">
      <c r="A71" s="178">
        <v>4231</v>
      </c>
      <c r="B71" s="179" t="s">
        <v>154</v>
      </c>
      <c r="C71" s="180">
        <f>SUM(D71:J71)</f>
        <v>0</v>
      </c>
      <c r="D71" s="180"/>
      <c r="E71" s="180"/>
      <c r="F71" s="180">
        <v>0</v>
      </c>
      <c r="G71" s="180"/>
      <c r="H71" s="180"/>
      <c r="I71" s="180">
        <v>0</v>
      </c>
      <c r="J71" s="180"/>
      <c r="K71" s="180"/>
      <c r="L71" s="180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 s="177" customFormat="1" ht="24" customHeight="1">
      <c r="A72" s="174">
        <v>45</v>
      </c>
      <c r="B72" s="175" t="s">
        <v>122</v>
      </c>
      <c r="C72" s="176">
        <f>C73</f>
        <v>0</v>
      </c>
      <c r="D72" s="176">
        <f aca="true" t="shared" si="25" ref="D72:L72">D73</f>
        <v>0</v>
      </c>
      <c r="E72" s="176">
        <f>E73</f>
        <v>0</v>
      </c>
      <c r="F72" s="176">
        <f t="shared" si="25"/>
        <v>0</v>
      </c>
      <c r="G72" s="176">
        <f t="shared" si="25"/>
        <v>0</v>
      </c>
      <c r="H72" s="176">
        <f t="shared" si="25"/>
        <v>0</v>
      </c>
      <c r="I72" s="176">
        <f t="shared" si="25"/>
        <v>0</v>
      </c>
      <c r="J72" s="176">
        <f t="shared" si="25"/>
        <v>0</v>
      </c>
      <c r="K72" s="176">
        <f t="shared" si="25"/>
        <v>0</v>
      </c>
      <c r="L72" s="176">
        <f t="shared" si="25"/>
        <v>0</v>
      </c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 s="177" customFormat="1" ht="26.25" customHeight="1">
      <c r="A73" s="174">
        <v>451</v>
      </c>
      <c r="B73" s="175" t="s">
        <v>89</v>
      </c>
      <c r="C73" s="176">
        <f>+SUM(D73:J73)</f>
        <v>0</v>
      </c>
      <c r="D73" s="176">
        <v>0</v>
      </c>
      <c r="E73" s="176">
        <v>0</v>
      </c>
      <c r="F73" s="176"/>
      <c r="G73" s="176">
        <v>0</v>
      </c>
      <c r="H73" s="176">
        <v>0</v>
      </c>
      <c r="I73" s="176">
        <v>0</v>
      </c>
      <c r="J73" s="176">
        <v>0</v>
      </c>
      <c r="K73" s="176"/>
      <c r="L73" s="176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 s="177" customFormat="1" ht="26.25" customHeight="1">
      <c r="A74" s="174">
        <v>5</v>
      </c>
      <c r="B74" s="175" t="s">
        <v>5</v>
      </c>
      <c r="C74" s="176">
        <f>C75</f>
        <v>0</v>
      </c>
      <c r="D74" s="176">
        <f aca="true" t="shared" si="26" ref="D74:L75">D75</f>
        <v>0</v>
      </c>
      <c r="E74" s="176">
        <f t="shared" si="26"/>
        <v>0</v>
      </c>
      <c r="F74" s="176">
        <f t="shared" si="26"/>
        <v>0</v>
      </c>
      <c r="G74" s="176">
        <f t="shared" si="26"/>
        <v>0</v>
      </c>
      <c r="H74" s="176">
        <f t="shared" si="26"/>
        <v>0</v>
      </c>
      <c r="I74" s="176">
        <f t="shared" si="26"/>
        <v>0</v>
      </c>
      <c r="J74" s="176">
        <f t="shared" si="26"/>
        <v>0</v>
      </c>
      <c r="K74" s="176">
        <f t="shared" si="26"/>
        <v>0</v>
      </c>
      <c r="L74" s="176">
        <f t="shared" si="26"/>
        <v>0</v>
      </c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</row>
    <row r="75" spans="1:29" s="177" customFormat="1" ht="33" customHeight="1">
      <c r="A75" s="174">
        <v>54</v>
      </c>
      <c r="B75" s="175" t="s">
        <v>90</v>
      </c>
      <c r="C75" s="176">
        <f>C76</f>
        <v>0</v>
      </c>
      <c r="D75" s="176">
        <f t="shared" si="26"/>
        <v>0</v>
      </c>
      <c r="E75" s="176">
        <f t="shared" si="26"/>
        <v>0</v>
      </c>
      <c r="F75" s="176">
        <f t="shared" si="26"/>
        <v>0</v>
      </c>
      <c r="G75" s="176">
        <f t="shared" si="26"/>
        <v>0</v>
      </c>
      <c r="H75" s="176">
        <f t="shared" si="26"/>
        <v>0</v>
      </c>
      <c r="I75" s="176">
        <f t="shared" si="26"/>
        <v>0</v>
      </c>
      <c r="J75" s="176">
        <f t="shared" si="26"/>
        <v>0</v>
      </c>
      <c r="K75" s="176">
        <f>K76</f>
        <v>0</v>
      </c>
      <c r="L75" s="176">
        <f>L76</f>
        <v>0</v>
      </c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</row>
    <row r="76" spans="1:29" s="177" customFormat="1" ht="45.75" customHeight="1">
      <c r="A76" s="174">
        <v>544</v>
      </c>
      <c r="B76" s="175" t="s">
        <v>91</v>
      </c>
      <c r="C76" s="176">
        <f>SUM(D76:J76)</f>
        <v>0</v>
      </c>
      <c r="D76" s="176"/>
      <c r="E76" s="176"/>
      <c r="F76" s="176"/>
      <c r="G76" s="176"/>
      <c r="H76" s="176"/>
      <c r="I76" s="176"/>
      <c r="J76" s="176">
        <v>0</v>
      </c>
      <c r="K76" s="176"/>
      <c r="L76" s="176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1:29" s="155" customFormat="1" ht="16.5" customHeight="1">
      <c r="A77" s="164">
        <v>92</v>
      </c>
      <c r="B77" s="153" t="s">
        <v>123</v>
      </c>
      <c r="C77" s="154">
        <f>+SUM(D77:J77)</f>
        <v>79000000</v>
      </c>
      <c r="D77" s="154">
        <f aca="true" t="shared" si="27" ref="D77:J77">D78</f>
        <v>0</v>
      </c>
      <c r="E77" s="74">
        <f t="shared" si="27"/>
        <v>0</v>
      </c>
      <c r="F77" s="74">
        <v>0</v>
      </c>
      <c r="G77" s="74">
        <f t="shared" si="27"/>
        <v>79000000</v>
      </c>
      <c r="H77" s="74">
        <f t="shared" si="27"/>
        <v>0</v>
      </c>
      <c r="I77" s="74">
        <f t="shared" si="27"/>
        <v>0</v>
      </c>
      <c r="J77" s="74">
        <f t="shared" si="27"/>
        <v>0</v>
      </c>
      <c r="K77" s="74">
        <v>79000000</v>
      </c>
      <c r="L77" s="74">
        <v>80000000</v>
      </c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</row>
    <row r="78" spans="1:29" s="155" customFormat="1" ht="16.5" customHeight="1">
      <c r="A78" s="164">
        <v>922</v>
      </c>
      <c r="B78" s="153" t="s">
        <v>94</v>
      </c>
      <c r="C78" s="154">
        <f>+SUM(D78:J78)</f>
        <v>79000000</v>
      </c>
      <c r="D78" s="154"/>
      <c r="E78" s="154"/>
      <c r="F78" s="154"/>
      <c r="G78" s="74">
        <f>G79</f>
        <v>79000000</v>
      </c>
      <c r="H78" s="154"/>
      <c r="I78" s="154"/>
      <c r="J78" s="154"/>
      <c r="K78" s="154"/>
      <c r="L78" s="154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</row>
    <row r="79" spans="1:12" ht="17.25" customHeight="1" hidden="1">
      <c r="A79" s="161">
        <v>9222</v>
      </c>
      <c r="B79" s="159" t="s">
        <v>95</v>
      </c>
      <c r="C79" s="160">
        <f>+SUM(D79:J79)</f>
        <v>79000000</v>
      </c>
      <c r="D79" s="160"/>
      <c r="E79" s="160"/>
      <c r="F79" s="160"/>
      <c r="G79" s="80">
        <v>79000000</v>
      </c>
      <c r="H79" s="160"/>
      <c r="I79" s="160"/>
      <c r="J79" s="160"/>
      <c r="K79" s="160"/>
      <c r="L79" s="160"/>
    </row>
    <row r="80" spans="1:29" s="184" customFormat="1" ht="14.25" customHeight="1">
      <c r="A80" s="334" t="s">
        <v>77</v>
      </c>
      <c r="B80" s="334"/>
      <c r="C80" s="182">
        <f>C8+C60+C77+C74</f>
        <v>363294507</v>
      </c>
      <c r="D80" s="182">
        <f aca="true" t="shared" si="28" ref="D80:I80">D8+D60+D77+D74</f>
        <v>0</v>
      </c>
      <c r="E80" s="182">
        <f>E8+E60+E77+E74</f>
        <v>3767000</v>
      </c>
      <c r="F80" s="182">
        <f t="shared" si="28"/>
        <v>223813800</v>
      </c>
      <c r="G80" s="182">
        <f t="shared" si="28"/>
        <v>134893233</v>
      </c>
      <c r="H80" s="182">
        <f t="shared" si="28"/>
        <v>808474</v>
      </c>
      <c r="I80" s="182">
        <f t="shared" si="28"/>
        <v>12000</v>
      </c>
      <c r="J80" s="182">
        <f>J8+J60+J77+J74</f>
        <v>0</v>
      </c>
      <c r="K80" s="182">
        <f>K8+K60+K77</f>
        <v>359393000</v>
      </c>
      <c r="L80" s="182">
        <f>L8+L60+L77</f>
        <v>361358000</v>
      </c>
      <c r="M80" s="183" t="e">
        <f>M8+#REF!</f>
        <v>#REF!</v>
      </c>
      <c r="N80" s="182" t="e">
        <f>N8+#REF!</f>
        <v>#REF!</v>
      </c>
      <c r="P80" s="184">
        <f>SUM(P11:P59)</f>
        <v>2096720</v>
      </c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</row>
    <row r="81" spans="1:29" s="276" customFormat="1" ht="18.75" customHeight="1" hidden="1">
      <c r="A81" s="273"/>
      <c r="B81" s="274" t="s">
        <v>179</v>
      </c>
      <c r="C81" s="275">
        <f>SUM(D81:J81)</f>
        <v>482628975</v>
      </c>
      <c r="D81" s="275">
        <v>9789103</v>
      </c>
      <c r="E81" s="275">
        <v>3767000</v>
      </c>
      <c r="F81" s="275">
        <v>223813800</v>
      </c>
      <c r="G81" s="275">
        <v>242557918</v>
      </c>
      <c r="H81" s="275">
        <v>2689154</v>
      </c>
      <c r="I81" s="275">
        <v>12000</v>
      </c>
      <c r="J81" s="275">
        <v>0</v>
      </c>
      <c r="K81" s="275"/>
      <c r="L81" s="275"/>
      <c r="M81" s="275"/>
      <c r="N81" s="275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</row>
    <row r="82" spans="1:29" s="276" customFormat="1" ht="15" customHeight="1" hidden="1">
      <c r="A82" s="273"/>
      <c r="B82" s="274" t="s">
        <v>39</v>
      </c>
      <c r="C82" s="275">
        <f>C101+C139+C150+C161+C176+C198+C121+C213</f>
        <v>119334468</v>
      </c>
      <c r="D82" s="275">
        <f aca="true" t="shared" si="29" ref="D82:J82">D101+D139+D150+D161+D176+D198+D121+D213</f>
        <v>9789103</v>
      </c>
      <c r="E82" s="275">
        <f t="shared" si="29"/>
        <v>0</v>
      </c>
      <c r="F82" s="275">
        <f t="shared" si="29"/>
        <v>0</v>
      </c>
      <c r="G82" s="275">
        <f t="shared" si="29"/>
        <v>107664685</v>
      </c>
      <c r="H82" s="275">
        <f t="shared" si="29"/>
        <v>1880680</v>
      </c>
      <c r="I82" s="275">
        <f t="shared" si="29"/>
        <v>0</v>
      </c>
      <c r="J82" s="275">
        <f t="shared" si="29"/>
        <v>0</v>
      </c>
      <c r="K82" s="275"/>
      <c r="L82" s="275"/>
      <c r="M82" s="275"/>
      <c r="N82" s="275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</row>
    <row r="83" spans="1:29" s="276" customFormat="1" ht="26.25" customHeight="1" hidden="1">
      <c r="A83" s="273"/>
      <c r="B83" s="274" t="s">
        <v>180</v>
      </c>
      <c r="C83" s="275">
        <f>C81-C82-C80</f>
        <v>0</v>
      </c>
      <c r="D83" s="275">
        <f aca="true" t="shared" si="30" ref="D83:J83">D81-D82-D80</f>
        <v>0</v>
      </c>
      <c r="E83" s="275">
        <f t="shared" si="30"/>
        <v>0</v>
      </c>
      <c r="F83" s="275">
        <f t="shared" si="30"/>
        <v>0</v>
      </c>
      <c r="G83" s="275">
        <f>G81-G82-G80</f>
        <v>0</v>
      </c>
      <c r="H83" s="275">
        <f>H81-H82-H80</f>
        <v>0</v>
      </c>
      <c r="I83" s="275">
        <f t="shared" si="30"/>
        <v>0</v>
      </c>
      <c r="J83" s="275">
        <f t="shared" si="30"/>
        <v>0</v>
      </c>
      <c r="K83" s="275"/>
      <c r="L83" s="275"/>
      <c r="M83" s="275"/>
      <c r="N83" s="275"/>
      <c r="R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</row>
    <row r="84" spans="1:29" s="189" customFormat="1" ht="32.25" customHeight="1" hidden="1">
      <c r="A84" s="188" t="s">
        <v>32</v>
      </c>
      <c r="B84" s="336" t="s">
        <v>114</v>
      </c>
      <c r="C84" s="336"/>
      <c r="D84" s="336"/>
      <c r="E84" s="336"/>
      <c r="F84" s="336"/>
      <c r="G84" s="336"/>
      <c r="H84" s="336"/>
      <c r="I84" s="336"/>
      <c r="J84" s="336"/>
      <c r="K84" s="337" t="s">
        <v>159</v>
      </c>
      <c r="L84" s="337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</row>
    <row r="85" spans="1:29" s="189" customFormat="1" ht="16.5" customHeight="1" hidden="1">
      <c r="A85" s="152">
        <v>3</v>
      </c>
      <c r="B85" s="153" t="s">
        <v>43</v>
      </c>
      <c r="C85" s="190">
        <f>C86</f>
        <v>0</v>
      </c>
      <c r="D85" s="190">
        <f aca="true" t="shared" si="31" ref="D85:J85">D86</f>
        <v>0</v>
      </c>
      <c r="E85" s="190">
        <f t="shared" si="31"/>
        <v>0</v>
      </c>
      <c r="F85" s="190">
        <f t="shared" si="31"/>
        <v>0</v>
      </c>
      <c r="G85" s="190">
        <f t="shared" si="31"/>
        <v>0</v>
      </c>
      <c r="H85" s="190">
        <f t="shared" si="31"/>
        <v>0</v>
      </c>
      <c r="I85" s="190">
        <f t="shared" si="31"/>
        <v>0</v>
      </c>
      <c r="J85" s="190">
        <f t="shared" si="31"/>
        <v>0</v>
      </c>
      <c r="K85" s="191"/>
      <c r="L85" s="191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</row>
    <row r="86" spans="1:29" s="189" customFormat="1" ht="16.5" customHeight="1" hidden="1">
      <c r="A86" s="164">
        <v>32</v>
      </c>
      <c r="B86" s="153" t="s">
        <v>22</v>
      </c>
      <c r="C86" s="190">
        <f>C89+C87</f>
        <v>0</v>
      </c>
      <c r="D86" s="190">
        <f aca="true" t="shared" si="32" ref="D86:J86">D89+D87</f>
        <v>0</v>
      </c>
      <c r="E86" s="190">
        <f t="shared" si="32"/>
        <v>0</v>
      </c>
      <c r="F86" s="190">
        <f t="shared" si="32"/>
        <v>0</v>
      </c>
      <c r="G86" s="190">
        <f t="shared" si="32"/>
        <v>0</v>
      </c>
      <c r="H86" s="190">
        <f t="shared" si="32"/>
        <v>0</v>
      </c>
      <c r="I86" s="190">
        <f t="shared" si="32"/>
        <v>0</v>
      </c>
      <c r="J86" s="190">
        <f t="shared" si="32"/>
        <v>0</v>
      </c>
      <c r="K86" s="191"/>
      <c r="L86" s="191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</row>
    <row r="87" spans="1:29" s="189" customFormat="1" ht="16.5" customHeight="1" hidden="1">
      <c r="A87" s="164">
        <v>322</v>
      </c>
      <c r="B87" s="153" t="s">
        <v>24</v>
      </c>
      <c r="C87" s="190">
        <f>C88</f>
        <v>0</v>
      </c>
      <c r="D87" s="190">
        <f aca="true" t="shared" si="33" ref="D87:J87">D88</f>
        <v>0</v>
      </c>
      <c r="E87" s="190">
        <f t="shared" si="33"/>
        <v>0</v>
      </c>
      <c r="F87" s="190">
        <f t="shared" si="33"/>
        <v>0</v>
      </c>
      <c r="G87" s="190">
        <f t="shared" si="33"/>
        <v>0</v>
      </c>
      <c r="H87" s="190">
        <f t="shared" si="33"/>
        <v>0</v>
      </c>
      <c r="I87" s="190">
        <f t="shared" si="33"/>
        <v>0</v>
      </c>
      <c r="J87" s="190">
        <f t="shared" si="33"/>
        <v>0</v>
      </c>
      <c r="K87" s="191"/>
      <c r="L87" s="191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</row>
    <row r="88" spans="1:29" s="189" customFormat="1" ht="18" customHeight="1" hidden="1">
      <c r="A88" s="161">
        <v>3225</v>
      </c>
      <c r="B88" s="159" t="s">
        <v>181</v>
      </c>
      <c r="C88" s="192">
        <f>SUM(D88:J88)</f>
        <v>0</v>
      </c>
      <c r="D88" s="192"/>
      <c r="E88" s="192"/>
      <c r="F88" s="192"/>
      <c r="G88" s="192"/>
      <c r="H88" s="192"/>
      <c r="I88" s="192"/>
      <c r="J88" s="192"/>
      <c r="K88" s="193"/>
      <c r="L88" s="193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</row>
    <row r="89" spans="1:29" s="189" customFormat="1" ht="18" customHeight="1" hidden="1">
      <c r="A89" s="164">
        <v>323</v>
      </c>
      <c r="B89" s="153" t="s">
        <v>25</v>
      </c>
      <c r="C89" s="190">
        <f>C90+C91+C92</f>
        <v>0</v>
      </c>
      <c r="D89" s="190">
        <f aca="true" t="shared" si="34" ref="D89:J89">D90+D91+D92</f>
        <v>0</v>
      </c>
      <c r="E89" s="190">
        <f t="shared" si="34"/>
        <v>0</v>
      </c>
      <c r="F89" s="190">
        <f t="shared" si="34"/>
        <v>0</v>
      </c>
      <c r="G89" s="190">
        <f t="shared" si="34"/>
        <v>0</v>
      </c>
      <c r="H89" s="190">
        <f t="shared" si="34"/>
        <v>0</v>
      </c>
      <c r="I89" s="190">
        <f t="shared" si="34"/>
        <v>0</v>
      </c>
      <c r="J89" s="190">
        <f t="shared" si="34"/>
        <v>0</v>
      </c>
      <c r="K89" s="191"/>
      <c r="L89" s="191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</row>
    <row r="90" spans="1:29" s="197" customFormat="1" ht="16.5" customHeight="1" hidden="1">
      <c r="A90" s="194">
        <v>3233</v>
      </c>
      <c r="B90" s="195" t="s">
        <v>137</v>
      </c>
      <c r="C90" s="192">
        <f>SUM(D90:J90)</f>
        <v>0</v>
      </c>
      <c r="D90" s="196"/>
      <c r="E90" s="196"/>
      <c r="F90" s="196"/>
      <c r="G90" s="196"/>
      <c r="H90" s="196"/>
      <c r="I90" s="196"/>
      <c r="J90" s="196"/>
      <c r="K90" s="196"/>
      <c r="L90" s="196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</row>
    <row r="91" spans="1:29" s="197" customFormat="1" ht="16.5" customHeight="1" hidden="1">
      <c r="A91" s="194">
        <v>3237</v>
      </c>
      <c r="B91" s="195" t="s">
        <v>139</v>
      </c>
      <c r="C91" s="192">
        <f>SUM(D91:J91)</f>
        <v>0</v>
      </c>
      <c r="D91" s="196"/>
      <c r="E91" s="196"/>
      <c r="F91" s="196"/>
      <c r="G91" s="196"/>
      <c r="H91" s="196"/>
      <c r="I91" s="196"/>
      <c r="J91" s="196"/>
      <c r="K91" s="196"/>
      <c r="L91" s="196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</row>
    <row r="92" spans="1:29" s="197" customFormat="1" ht="16.5" customHeight="1" hidden="1">
      <c r="A92" s="194">
        <v>3239</v>
      </c>
      <c r="B92" s="195" t="s">
        <v>182</v>
      </c>
      <c r="C92" s="192">
        <f>SUM(D92:J92)</f>
        <v>0</v>
      </c>
      <c r="D92" s="196"/>
      <c r="E92" s="196"/>
      <c r="F92" s="196"/>
      <c r="G92" s="196"/>
      <c r="H92" s="196"/>
      <c r="I92" s="196"/>
      <c r="J92" s="196"/>
      <c r="K92" s="196"/>
      <c r="L92" s="196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</row>
    <row r="93" spans="1:29" s="198" customFormat="1" ht="37.5" customHeight="1" hidden="1">
      <c r="A93" s="164">
        <v>4</v>
      </c>
      <c r="B93" s="153" t="s">
        <v>78</v>
      </c>
      <c r="C93" s="154">
        <f>C94</f>
        <v>0</v>
      </c>
      <c r="D93" s="154">
        <f aca="true" t="shared" si="35" ref="D93:J95">D94</f>
        <v>0</v>
      </c>
      <c r="E93" s="154">
        <f t="shared" si="35"/>
        <v>0</v>
      </c>
      <c r="F93" s="154">
        <f t="shared" si="35"/>
        <v>0</v>
      </c>
      <c r="G93" s="74">
        <f>G94</f>
        <v>0</v>
      </c>
      <c r="H93" s="154">
        <f t="shared" si="35"/>
        <v>0</v>
      </c>
      <c r="I93" s="154">
        <f t="shared" si="35"/>
        <v>0</v>
      </c>
      <c r="J93" s="154">
        <f t="shared" si="35"/>
        <v>0</v>
      </c>
      <c r="K93" s="154">
        <v>0</v>
      </c>
      <c r="L93" s="154">
        <f>L94</f>
        <v>0</v>
      </c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198" customFormat="1" ht="33.75" customHeight="1" hidden="1">
      <c r="A94" s="164">
        <v>42</v>
      </c>
      <c r="B94" s="153" t="s">
        <v>79</v>
      </c>
      <c r="C94" s="154">
        <f>C95+C97</f>
        <v>0</v>
      </c>
      <c r="D94" s="154">
        <f t="shared" si="35"/>
        <v>0</v>
      </c>
      <c r="E94" s="154">
        <f t="shared" si="35"/>
        <v>0</v>
      </c>
      <c r="F94" s="154">
        <f t="shared" si="35"/>
        <v>0</v>
      </c>
      <c r="G94" s="74">
        <f>G95+G97</f>
        <v>0</v>
      </c>
      <c r="H94" s="74">
        <f>H95+H97</f>
        <v>0</v>
      </c>
      <c r="I94" s="74">
        <f>I95+I97</f>
        <v>0</v>
      </c>
      <c r="J94" s="74">
        <f>J95+J97</f>
        <v>0</v>
      </c>
      <c r="K94" s="154">
        <v>0</v>
      </c>
      <c r="L94" s="154">
        <v>0</v>
      </c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  <row r="95" spans="1:29" s="187" customFormat="1" ht="16.5" customHeight="1" hidden="1">
      <c r="A95" s="164">
        <v>421</v>
      </c>
      <c r="B95" s="153" t="s">
        <v>80</v>
      </c>
      <c r="C95" s="154">
        <f>C96</f>
        <v>0</v>
      </c>
      <c r="D95" s="154">
        <f t="shared" si="35"/>
        <v>0</v>
      </c>
      <c r="E95" s="154">
        <f t="shared" si="35"/>
        <v>0</v>
      </c>
      <c r="F95" s="154">
        <f t="shared" si="35"/>
        <v>0</v>
      </c>
      <c r="G95" s="154">
        <f>G96</f>
        <v>0</v>
      </c>
      <c r="H95" s="154">
        <f>H96</f>
        <v>0</v>
      </c>
      <c r="I95" s="154">
        <f>I96</f>
        <v>0</v>
      </c>
      <c r="J95" s="154">
        <f>J96</f>
        <v>0</v>
      </c>
      <c r="K95" s="154"/>
      <c r="L95" s="154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</row>
    <row r="96" spans="1:29" s="198" customFormat="1" ht="27" customHeight="1" hidden="1">
      <c r="A96" s="161">
        <v>4212</v>
      </c>
      <c r="B96" s="159" t="s">
        <v>110</v>
      </c>
      <c r="C96" s="160">
        <f>SUM(D96:J96)</f>
        <v>0</v>
      </c>
      <c r="D96" s="160">
        <v>0</v>
      </c>
      <c r="E96" s="160"/>
      <c r="F96" s="160"/>
      <c r="G96" s="80"/>
      <c r="H96" s="160"/>
      <c r="I96" s="160"/>
      <c r="J96" s="160"/>
      <c r="K96" s="160"/>
      <c r="L96" s="160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</row>
    <row r="97" spans="1:29" s="187" customFormat="1" ht="15" customHeight="1" hidden="1">
      <c r="A97" s="164">
        <v>422</v>
      </c>
      <c r="B97" s="153" t="s">
        <v>28</v>
      </c>
      <c r="C97" s="154">
        <f>C99+C98+C100</f>
        <v>0</v>
      </c>
      <c r="D97" s="154">
        <f aca="true" t="shared" si="36" ref="D97:J97">D99+D98+D100</f>
        <v>0</v>
      </c>
      <c r="E97" s="154">
        <f t="shared" si="36"/>
        <v>0</v>
      </c>
      <c r="F97" s="154">
        <f t="shared" si="36"/>
        <v>0</v>
      </c>
      <c r="G97" s="154">
        <f t="shared" si="36"/>
        <v>0</v>
      </c>
      <c r="H97" s="154">
        <f t="shared" si="36"/>
        <v>0</v>
      </c>
      <c r="I97" s="154">
        <f t="shared" si="36"/>
        <v>0</v>
      </c>
      <c r="J97" s="154">
        <f t="shared" si="36"/>
        <v>0</v>
      </c>
      <c r="K97" s="154"/>
      <c r="L97" s="154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</row>
    <row r="98" spans="1:29" s="198" customFormat="1" ht="15" customHeight="1" hidden="1">
      <c r="A98" s="161">
        <v>4221</v>
      </c>
      <c r="B98" s="159" t="s">
        <v>86</v>
      </c>
      <c r="C98" s="160">
        <f>SUM(D98:J98)</f>
        <v>0</v>
      </c>
      <c r="D98" s="160"/>
      <c r="E98" s="160"/>
      <c r="F98" s="160"/>
      <c r="G98" s="160"/>
      <c r="H98" s="160"/>
      <c r="I98" s="160"/>
      <c r="J98" s="160"/>
      <c r="K98" s="160"/>
      <c r="L98" s="160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</row>
    <row r="99" spans="1:29" s="198" customFormat="1" ht="15" customHeight="1" hidden="1">
      <c r="A99" s="161">
        <v>4224</v>
      </c>
      <c r="B99" s="159" t="s">
        <v>87</v>
      </c>
      <c r="C99" s="160">
        <f>SUM(D99:J99)</f>
        <v>0</v>
      </c>
      <c r="D99" s="160"/>
      <c r="E99" s="160"/>
      <c r="F99" s="160"/>
      <c r="G99" s="80">
        <v>0</v>
      </c>
      <c r="H99" s="160"/>
      <c r="I99" s="160"/>
      <c r="J99" s="160"/>
      <c r="K99" s="160"/>
      <c r="L99" s="160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</row>
    <row r="100" spans="1:29" s="198" customFormat="1" ht="28.5" customHeight="1" hidden="1">
      <c r="A100" s="161">
        <v>4227</v>
      </c>
      <c r="B100" s="159" t="s">
        <v>136</v>
      </c>
      <c r="C100" s="160">
        <f>SUM(D100:J100)</f>
        <v>0</v>
      </c>
      <c r="D100" s="160"/>
      <c r="E100" s="160"/>
      <c r="F100" s="160"/>
      <c r="G100" s="80"/>
      <c r="H100" s="160"/>
      <c r="I100" s="160"/>
      <c r="J100" s="160"/>
      <c r="K100" s="160"/>
      <c r="L100" s="160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</row>
    <row r="101" spans="1:29" s="189" customFormat="1" ht="15" hidden="1">
      <c r="A101" s="335" t="s">
        <v>77</v>
      </c>
      <c r="B101" s="335"/>
      <c r="C101" s="199">
        <f>SUM(D101:J101)</f>
        <v>0</v>
      </c>
      <c r="D101" s="199">
        <f>D93</f>
        <v>0</v>
      </c>
      <c r="E101" s="199">
        <f>E93</f>
        <v>0</v>
      </c>
      <c r="F101" s="199">
        <f>F93</f>
        <v>0</v>
      </c>
      <c r="G101" s="82">
        <f>G93+G85</f>
        <v>0</v>
      </c>
      <c r="H101" s="82">
        <f>H93+H85</f>
        <v>0</v>
      </c>
      <c r="I101" s="82">
        <f>I93+I85</f>
        <v>0</v>
      </c>
      <c r="J101" s="82">
        <f>J93+J85</f>
        <v>0</v>
      </c>
      <c r="K101" s="199">
        <f>K93</f>
        <v>0</v>
      </c>
      <c r="L101" s="199">
        <f>L93</f>
        <v>0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</row>
    <row r="102" spans="1:29" s="189" customFormat="1" ht="10.5" customHeight="1" hidden="1">
      <c r="A102" s="185"/>
      <c r="B102" s="185"/>
      <c r="C102" s="186"/>
      <c r="D102" s="186"/>
      <c r="E102" s="186"/>
      <c r="F102" s="186"/>
      <c r="G102" s="81"/>
      <c r="H102" s="186"/>
      <c r="I102" s="186"/>
      <c r="J102" s="186"/>
      <c r="K102" s="186"/>
      <c r="L102" s="186"/>
      <c r="R102" s="38"/>
      <c r="S102" s="38"/>
      <c r="T102" s="163"/>
      <c r="U102" s="38"/>
      <c r="V102" s="38"/>
      <c r="W102" s="38"/>
      <c r="X102" s="38"/>
      <c r="Y102" s="38"/>
      <c r="Z102" s="38"/>
      <c r="AA102" s="38"/>
      <c r="AB102" s="38"/>
      <c r="AC102" s="38"/>
    </row>
    <row r="103" spans="1:29" s="189" customFormat="1" ht="32.25" customHeight="1" hidden="1">
      <c r="A103" s="200" t="s">
        <v>32</v>
      </c>
      <c r="B103" s="342" t="s">
        <v>115</v>
      </c>
      <c r="C103" s="342"/>
      <c r="D103" s="342"/>
      <c r="E103" s="342"/>
      <c r="F103" s="342"/>
      <c r="G103" s="342"/>
      <c r="H103" s="342"/>
      <c r="I103" s="342"/>
      <c r="J103" s="342"/>
      <c r="K103" s="343" t="s">
        <v>160</v>
      </c>
      <c r="L103" s="343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</row>
    <row r="104" spans="1:29" s="189" customFormat="1" ht="18.75" customHeight="1" hidden="1">
      <c r="A104" s="152">
        <v>3</v>
      </c>
      <c r="B104" s="153" t="s">
        <v>43</v>
      </c>
      <c r="C104" s="190">
        <f>C105</f>
        <v>0</v>
      </c>
      <c r="D104" s="190">
        <f aca="true" t="shared" si="37" ref="D104:J104">D105</f>
        <v>0</v>
      </c>
      <c r="E104" s="190">
        <f t="shared" si="37"/>
        <v>0</v>
      </c>
      <c r="F104" s="190">
        <f t="shared" si="37"/>
        <v>0</v>
      </c>
      <c r="G104" s="190">
        <f t="shared" si="37"/>
        <v>0</v>
      </c>
      <c r="H104" s="190">
        <f t="shared" si="37"/>
        <v>0</v>
      </c>
      <c r="I104" s="190">
        <f t="shared" si="37"/>
        <v>0</v>
      </c>
      <c r="J104" s="190">
        <f t="shared" si="37"/>
        <v>0</v>
      </c>
      <c r="K104" s="201"/>
      <c r="L104" s="201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</row>
    <row r="105" spans="1:29" s="189" customFormat="1" ht="17.25" customHeight="1" hidden="1">
      <c r="A105" s="164">
        <v>32</v>
      </c>
      <c r="B105" s="153" t="s">
        <v>22</v>
      </c>
      <c r="C105" s="190">
        <f>C108+C106</f>
        <v>0</v>
      </c>
      <c r="D105" s="190">
        <f aca="true" t="shared" si="38" ref="D105:J105">D108+D106</f>
        <v>0</v>
      </c>
      <c r="E105" s="190">
        <f t="shared" si="38"/>
        <v>0</v>
      </c>
      <c r="F105" s="190">
        <f t="shared" si="38"/>
        <v>0</v>
      </c>
      <c r="G105" s="190">
        <f t="shared" si="38"/>
        <v>0</v>
      </c>
      <c r="H105" s="190">
        <f t="shared" si="38"/>
        <v>0</v>
      </c>
      <c r="I105" s="190">
        <f t="shared" si="38"/>
        <v>0</v>
      </c>
      <c r="J105" s="190">
        <f t="shared" si="38"/>
        <v>0</v>
      </c>
      <c r="K105" s="201"/>
      <c r="L105" s="201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</row>
    <row r="106" spans="1:29" s="189" customFormat="1" ht="17.25" customHeight="1" hidden="1">
      <c r="A106" s="164">
        <v>322</v>
      </c>
      <c r="B106" s="153" t="s">
        <v>24</v>
      </c>
      <c r="C106" s="190">
        <f>C107</f>
        <v>0</v>
      </c>
      <c r="D106" s="190">
        <f aca="true" t="shared" si="39" ref="D106:J106">D107</f>
        <v>0</v>
      </c>
      <c r="E106" s="190">
        <f t="shared" si="39"/>
        <v>0</v>
      </c>
      <c r="F106" s="190">
        <f t="shared" si="39"/>
        <v>0</v>
      </c>
      <c r="G106" s="190">
        <f t="shared" si="39"/>
        <v>0</v>
      </c>
      <c r="H106" s="190">
        <f t="shared" si="39"/>
        <v>0</v>
      </c>
      <c r="I106" s="190">
        <f t="shared" si="39"/>
        <v>0</v>
      </c>
      <c r="J106" s="190">
        <f t="shared" si="39"/>
        <v>0</v>
      </c>
      <c r="K106" s="201"/>
      <c r="L106" s="201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1:29" s="189" customFormat="1" ht="18" customHeight="1" hidden="1">
      <c r="A107" s="161">
        <v>3225</v>
      </c>
      <c r="B107" s="159" t="s">
        <v>181</v>
      </c>
      <c r="C107" s="192">
        <f>SUM(D107:J107)</f>
        <v>0</v>
      </c>
      <c r="D107" s="190"/>
      <c r="E107" s="190"/>
      <c r="F107" s="190"/>
      <c r="G107" s="192"/>
      <c r="H107" s="190"/>
      <c r="I107" s="190"/>
      <c r="J107" s="190"/>
      <c r="K107" s="201"/>
      <c r="L107" s="201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</row>
    <row r="108" spans="1:29" s="189" customFormat="1" ht="18" customHeight="1" hidden="1">
      <c r="A108" s="164">
        <v>323</v>
      </c>
      <c r="B108" s="153" t="s">
        <v>25</v>
      </c>
      <c r="C108" s="190">
        <f>C109+C110+C111+C112</f>
        <v>0</v>
      </c>
      <c r="D108" s="190">
        <f aca="true" t="shared" si="40" ref="D108:J108">D109+D110+D111+D112</f>
        <v>0</v>
      </c>
      <c r="E108" s="190">
        <f t="shared" si="40"/>
        <v>0</v>
      </c>
      <c r="F108" s="190">
        <f t="shared" si="40"/>
        <v>0</v>
      </c>
      <c r="G108" s="190">
        <f t="shared" si="40"/>
        <v>0</v>
      </c>
      <c r="H108" s="190">
        <f t="shared" si="40"/>
        <v>0</v>
      </c>
      <c r="I108" s="190">
        <f t="shared" si="40"/>
        <v>0</v>
      </c>
      <c r="J108" s="190">
        <f t="shared" si="40"/>
        <v>0</v>
      </c>
      <c r="K108" s="201"/>
      <c r="L108" s="201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</row>
    <row r="109" spans="1:29" s="198" customFormat="1" ht="18" customHeight="1" hidden="1">
      <c r="A109" s="194">
        <v>3233</v>
      </c>
      <c r="B109" s="195" t="s">
        <v>137</v>
      </c>
      <c r="C109" s="192">
        <f>SUM(D109:J109)</f>
        <v>0</v>
      </c>
      <c r="D109" s="196"/>
      <c r="E109" s="196"/>
      <c r="F109" s="196"/>
      <c r="G109" s="196"/>
      <c r="H109" s="196"/>
      <c r="I109" s="196"/>
      <c r="J109" s="196"/>
      <c r="K109" s="196"/>
      <c r="L109" s="196"/>
      <c r="M109" s="197"/>
      <c r="N109" s="197"/>
      <c r="O109" s="197"/>
      <c r="P109" s="197"/>
      <c r="Q109" s="197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</row>
    <row r="110" spans="1:29" s="198" customFormat="1" ht="18" customHeight="1" hidden="1">
      <c r="A110" s="194">
        <v>3235</v>
      </c>
      <c r="B110" s="195" t="s">
        <v>62</v>
      </c>
      <c r="C110" s="192">
        <f>SUM(D110:J110)</f>
        <v>0</v>
      </c>
      <c r="D110" s="196"/>
      <c r="E110" s="196"/>
      <c r="F110" s="196"/>
      <c r="G110" s="196"/>
      <c r="H110" s="196"/>
      <c r="I110" s="196"/>
      <c r="J110" s="196"/>
      <c r="K110" s="196"/>
      <c r="L110" s="196"/>
      <c r="M110" s="197"/>
      <c r="N110" s="197"/>
      <c r="O110" s="197"/>
      <c r="P110" s="197"/>
      <c r="Q110" s="197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</row>
    <row r="111" spans="1:29" s="198" customFormat="1" ht="18" customHeight="1" hidden="1">
      <c r="A111" s="194">
        <v>3237</v>
      </c>
      <c r="B111" s="195" t="s">
        <v>139</v>
      </c>
      <c r="C111" s="192">
        <f>SUM(D111:J111)</f>
        <v>0</v>
      </c>
      <c r="D111" s="196"/>
      <c r="E111" s="196"/>
      <c r="F111" s="196"/>
      <c r="G111" s="196"/>
      <c r="H111" s="196"/>
      <c r="I111" s="196"/>
      <c r="J111" s="196"/>
      <c r="K111" s="196"/>
      <c r="L111" s="196"/>
      <c r="M111" s="197"/>
      <c r="N111" s="197"/>
      <c r="O111" s="197"/>
      <c r="P111" s="197"/>
      <c r="Q111" s="197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</row>
    <row r="112" spans="1:29" s="198" customFormat="1" ht="18" customHeight="1" hidden="1">
      <c r="A112" s="194">
        <v>3239</v>
      </c>
      <c r="B112" s="195" t="s">
        <v>182</v>
      </c>
      <c r="C112" s="192">
        <f>SUM(D112:J112)</f>
        <v>0</v>
      </c>
      <c r="D112" s="196"/>
      <c r="E112" s="196"/>
      <c r="F112" s="196"/>
      <c r="G112" s="196"/>
      <c r="H112" s="196"/>
      <c r="I112" s="196"/>
      <c r="J112" s="196"/>
      <c r="K112" s="196"/>
      <c r="L112" s="196"/>
      <c r="M112" s="197"/>
      <c r="N112" s="197"/>
      <c r="O112" s="197"/>
      <c r="P112" s="197"/>
      <c r="Q112" s="197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</row>
    <row r="113" spans="1:29" s="198" customFormat="1" ht="25.5" hidden="1">
      <c r="A113" s="164">
        <v>4</v>
      </c>
      <c r="B113" s="153" t="s">
        <v>78</v>
      </c>
      <c r="C113" s="154">
        <f>C114</f>
        <v>0</v>
      </c>
      <c r="D113" s="154">
        <f aca="true" t="shared" si="41" ref="D113:J115">D114</f>
        <v>0</v>
      </c>
      <c r="E113" s="154">
        <f t="shared" si="41"/>
        <v>0</v>
      </c>
      <c r="F113" s="154">
        <f t="shared" si="41"/>
        <v>0</v>
      </c>
      <c r="G113" s="74">
        <f t="shared" si="41"/>
        <v>0</v>
      </c>
      <c r="H113" s="154">
        <f t="shared" si="41"/>
        <v>0</v>
      </c>
      <c r="I113" s="154">
        <f t="shared" si="41"/>
        <v>0</v>
      </c>
      <c r="J113" s="154">
        <f t="shared" si="41"/>
        <v>0</v>
      </c>
      <c r="K113" s="154">
        <v>0</v>
      </c>
      <c r="L113" s="154">
        <f>L114</f>
        <v>0</v>
      </c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</row>
    <row r="114" spans="1:29" s="198" customFormat="1" ht="33.75" customHeight="1" hidden="1">
      <c r="A114" s="164">
        <v>42</v>
      </c>
      <c r="B114" s="153" t="s">
        <v>79</v>
      </c>
      <c r="C114" s="154">
        <f>C115+C117</f>
        <v>0</v>
      </c>
      <c r="D114" s="154">
        <f t="shared" si="41"/>
        <v>0</v>
      </c>
      <c r="E114" s="154">
        <f t="shared" si="41"/>
        <v>0</v>
      </c>
      <c r="F114" s="154">
        <f t="shared" si="41"/>
        <v>0</v>
      </c>
      <c r="G114" s="74">
        <f>G115+G117</f>
        <v>0</v>
      </c>
      <c r="H114" s="74">
        <f>H115+H117</f>
        <v>0</v>
      </c>
      <c r="I114" s="74">
        <f>I115+I117</f>
        <v>0</v>
      </c>
      <c r="J114" s="74">
        <f>J115+J117</f>
        <v>0</v>
      </c>
      <c r="K114" s="154">
        <v>0</v>
      </c>
      <c r="L114" s="154">
        <v>0</v>
      </c>
      <c r="R114" s="38"/>
      <c r="S114" s="38"/>
      <c r="T114" s="202"/>
      <c r="U114" s="38"/>
      <c r="V114" s="38"/>
      <c r="W114" s="38"/>
      <c r="X114" s="38"/>
      <c r="Y114" s="38"/>
      <c r="Z114" s="38"/>
      <c r="AA114" s="38"/>
      <c r="AB114" s="38"/>
      <c r="AC114" s="38"/>
    </row>
    <row r="115" spans="1:29" s="187" customFormat="1" ht="15" hidden="1">
      <c r="A115" s="164">
        <v>421</v>
      </c>
      <c r="B115" s="153" t="s">
        <v>80</v>
      </c>
      <c r="C115" s="154">
        <f>C116</f>
        <v>0</v>
      </c>
      <c r="D115" s="154">
        <f t="shared" si="41"/>
        <v>0</v>
      </c>
      <c r="E115" s="154">
        <f t="shared" si="41"/>
        <v>0</v>
      </c>
      <c r="F115" s="154">
        <f t="shared" si="41"/>
        <v>0</v>
      </c>
      <c r="G115" s="154">
        <f t="shared" si="41"/>
        <v>0</v>
      </c>
      <c r="H115" s="154">
        <f t="shared" si="41"/>
        <v>0</v>
      </c>
      <c r="I115" s="154">
        <f t="shared" si="41"/>
        <v>0</v>
      </c>
      <c r="J115" s="154">
        <f t="shared" si="41"/>
        <v>0</v>
      </c>
      <c r="K115" s="154"/>
      <c r="L115" s="154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</row>
    <row r="116" spans="1:29" s="198" customFormat="1" ht="15.75" customHeight="1" hidden="1">
      <c r="A116" s="161">
        <v>4212</v>
      </c>
      <c r="B116" s="159" t="s">
        <v>111</v>
      </c>
      <c r="C116" s="160">
        <f>+SUM(D116:J116)</f>
        <v>0</v>
      </c>
      <c r="D116" s="160">
        <v>0</v>
      </c>
      <c r="E116" s="160"/>
      <c r="F116" s="160"/>
      <c r="G116" s="160"/>
      <c r="H116" s="160"/>
      <c r="I116" s="160"/>
      <c r="J116" s="160">
        <v>0</v>
      </c>
      <c r="K116" s="160"/>
      <c r="L116" s="160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</row>
    <row r="117" spans="1:29" s="187" customFormat="1" ht="15.75" customHeight="1" hidden="1">
      <c r="A117" s="164">
        <v>422</v>
      </c>
      <c r="B117" s="153" t="s">
        <v>28</v>
      </c>
      <c r="C117" s="154">
        <f>C119+C118+C120</f>
        <v>0</v>
      </c>
      <c r="D117" s="154">
        <f aca="true" t="shared" si="42" ref="D117:J117">D119+D118+D120</f>
        <v>0</v>
      </c>
      <c r="E117" s="154">
        <f t="shared" si="42"/>
        <v>0</v>
      </c>
      <c r="F117" s="154">
        <f t="shared" si="42"/>
        <v>0</v>
      </c>
      <c r="G117" s="154">
        <f>G119+G118+G120</f>
        <v>0</v>
      </c>
      <c r="H117" s="154">
        <f t="shared" si="42"/>
        <v>0</v>
      </c>
      <c r="I117" s="154">
        <f t="shared" si="42"/>
        <v>0</v>
      </c>
      <c r="J117" s="154">
        <f t="shared" si="42"/>
        <v>0</v>
      </c>
      <c r="K117" s="154"/>
      <c r="L117" s="154"/>
      <c r="R117" s="20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</row>
    <row r="118" spans="1:29" s="198" customFormat="1" ht="15.75" customHeight="1" hidden="1">
      <c r="A118" s="161">
        <v>4221</v>
      </c>
      <c r="B118" s="159" t="s">
        <v>86</v>
      </c>
      <c r="C118" s="160">
        <f>SUM(D118:J118)</f>
        <v>0</v>
      </c>
      <c r="D118" s="160"/>
      <c r="E118" s="160"/>
      <c r="F118" s="160"/>
      <c r="G118" s="160"/>
      <c r="H118" s="160"/>
      <c r="I118" s="160"/>
      <c r="J118" s="160"/>
      <c r="K118" s="160"/>
      <c r="L118" s="160"/>
      <c r="R118" s="204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</row>
    <row r="119" spans="1:29" s="189" customFormat="1" ht="15.75" customHeight="1" hidden="1">
      <c r="A119" s="161">
        <v>4224</v>
      </c>
      <c r="B119" s="159" t="s">
        <v>87</v>
      </c>
      <c r="C119" s="160">
        <f>SUM(D119:J119)</f>
        <v>0</v>
      </c>
      <c r="D119" s="160"/>
      <c r="E119" s="160"/>
      <c r="F119" s="160"/>
      <c r="G119" s="80"/>
      <c r="H119" s="160"/>
      <c r="I119" s="160"/>
      <c r="J119" s="160"/>
      <c r="K119" s="160"/>
      <c r="L119" s="160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</row>
    <row r="120" spans="1:29" s="189" customFormat="1" ht="30" customHeight="1" hidden="1">
      <c r="A120" s="161">
        <v>4227</v>
      </c>
      <c r="B120" s="159" t="s">
        <v>136</v>
      </c>
      <c r="C120" s="160">
        <f>SUM(D120:J120)</f>
        <v>0</v>
      </c>
      <c r="D120" s="160"/>
      <c r="E120" s="160"/>
      <c r="F120" s="160"/>
      <c r="G120" s="80"/>
      <c r="H120" s="160"/>
      <c r="I120" s="160"/>
      <c r="J120" s="160"/>
      <c r="K120" s="160"/>
      <c r="L120" s="160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</row>
    <row r="121" spans="1:29" s="189" customFormat="1" ht="15" hidden="1">
      <c r="A121" s="335" t="s">
        <v>77</v>
      </c>
      <c r="B121" s="335"/>
      <c r="C121" s="199">
        <f>SUM(D121:J121)</f>
        <v>0</v>
      </c>
      <c r="D121" s="199">
        <f aca="true" t="shared" si="43" ref="D121:K121">D113</f>
        <v>0</v>
      </c>
      <c r="E121" s="199">
        <f t="shared" si="43"/>
        <v>0</v>
      </c>
      <c r="F121" s="199">
        <f t="shared" si="43"/>
        <v>0</v>
      </c>
      <c r="G121" s="82">
        <f>G113+G104</f>
        <v>0</v>
      </c>
      <c r="H121" s="82">
        <f>H113+H104</f>
        <v>0</v>
      </c>
      <c r="I121" s="82">
        <f>I113+I104</f>
        <v>0</v>
      </c>
      <c r="J121" s="82">
        <f>J113+J104</f>
        <v>0</v>
      </c>
      <c r="K121" s="199">
        <f t="shared" si="43"/>
        <v>0</v>
      </c>
      <c r="L121" s="199">
        <f>L113</f>
        <v>0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</row>
    <row r="122" spans="1:12" ht="15.75" hidden="1">
      <c r="A122" s="185"/>
      <c r="B122" s="205"/>
      <c r="C122" s="186"/>
      <c r="D122" s="186"/>
      <c r="E122" s="186"/>
      <c r="F122" s="186"/>
      <c r="G122" s="81"/>
      <c r="H122" s="186"/>
      <c r="I122" s="186"/>
      <c r="J122" s="186"/>
      <c r="K122" s="186"/>
      <c r="L122" s="186"/>
    </row>
    <row r="123" spans="1:29" s="187" customFormat="1" ht="17.25" customHeight="1" hidden="1">
      <c r="A123" s="185"/>
      <c r="B123" s="205" t="s">
        <v>116</v>
      </c>
      <c r="C123" s="186">
        <f aca="true" t="shared" si="44" ref="C123:L123">C101+C121</f>
        <v>0</v>
      </c>
      <c r="D123" s="186">
        <f t="shared" si="44"/>
        <v>0</v>
      </c>
      <c r="E123" s="186">
        <f t="shared" si="44"/>
        <v>0</v>
      </c>
      <c r="F123" s="186">
        <f t="shared" si="44"/>
        <v>0</v>
      </c>
      <c r="G123" s="186">
        <f t="shared" si="44"/>
        <v>0</v>
      </c>
      <c r="H123" s="186">
        <f t="shared" si="44"/>
        <v>0</v>
      </c>
      <c r="I123" s="186">
        <f t="shared" si="44"/>
        <v>0</v>
      </c>
      <c r="J123" s="186">
        <f t="shared" si="44"/>
        <v>0</v>
      </c>
      <c r="K123" s="186">
        <f t="shared" si="44"/>
        <v>0</v>
      </c>
      <c r="L123" s="186">
        <f t="shared" si="44"/>
        <v>0</v>
      </c>
      <c r="M123" s="186"/>
      <c r="N123" s="186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</row>
    <row r="124" spans="1:29" s="187" customFormat="1" ht="12.75" customHeight="1">
      <c r="A124" s="185"/>
      <c r="B124" s="185"/>
      <c r="C124" s="186"/>
      <c r="D124" s="186"/>
      <c r="E124" s="186"/>
      <c r="F124" s="186"/>
      <c r="H124" s="186"/>
      <c r="I124" s="186"/>
      <c r="J124" s="186"/>
      <c r="K124" s="186"/>
      <c r="M124" s="186"/>
      <c r="N124" s="186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</row>
    <row r="125" spans="1:29" s="187" customFormat="1" ht="16.5" customHeight="1">
      <c r="A125" s="185"/>
      <c r="B125" s="206" t="s">
        <v>81</v>
      </c>
      <c r="C125" s="186"/>
      <c r="D125" s="186"/>
      <c r="E125" s="186"/>
      <c r="F125" s="186"/>
      <c r="H125" s="186"/>
      <c r="I125" s="186"/>
      <c r="J125" s="186"/>
      <c r="K125" s="186"/>
      <c r="L125" s="186"/>
      <c r="M125" s="186"/>
      <c r="N125" s="186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1:29" s="187" customFormat="1" ht="26.25" customHeight="1">
      <c r="A126" s="205" t="s">
        <v>31</v>
      </c>
      <c r="B126" s="207" t="s">
        <v>169</v>
      </c>
      <c r="C126" s="186"/>
      <c r="D126" s="186"/>
      <c r="E126" s="186"/>
      <c r="F126" s="186"/>
      <c r="H126" s="186"/>
      <c r="I126" s="186"/>
      <c r="J126" s="186"/>
      <c r="K126" s="331" t="s">
        <v>161</v>
      </c>
      <c r="L126" s="331"/>
      <c r="M126" s="186"/>
      <c r="N126" s="186"/>
      <c r="R126" s="208" t="s">
        <v>183</v>
      </c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</row>
    <row r="127" spans="1:29" s="139" customFormat="1" ht="14.25" customHeight="1">
      <c r="A127" s="152">
        <v>3</v>
      </c>
      <c r="B127" s="153" t="s">
        <v>43</v>
      </c>
      <c r="C127" s="154">
        <f aca="true" t="shared" si="45" ref="C127:L127">C128+C134</f>
        <v>325000</v>
      </c>
      <c r="D127" s="154">
        <f>D128+D134</f>
        <v>325000</v>
      </c>
      <c r="E127" s="154">
        <f t="shared" si="45"/>
        <v>0</v>
      </c>
      <c r="F127" s="154">
        <f t="shared" si="45"/>
        <v>0</v>
      </c>
      <c r="G127" s="74">
        <f t="shared" si="45"/>
        <v>0</v>
      </c>
      <c r="H127" s="154">
        <f t="shared" si="45"/>
        <v>0</v>
      </c>
      <c r="I127" s="154">
        <f t="shared" si="45"/>
        <v>0</v>
      </c>
      <c r="J127" s="154">
        <f t="shared" si="45"/>
        <v>0</v>
      </c>
      <c r="K127" s="154">
        <f t="shared" si="45"/>
        <v>25000</v>
      </c>
      <c r="L127" s="154">
        <f t="shared" si="45"/>
        <v>25000</v>
      </c>
      <c r="M127" s="138"/>
      <c r="N127" s="13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</row>
    <row r="128" spans="1:14" ht="14.25" customHeight="1">
      <c r="A128" s="152">
        <v>31</v>
      </c>
      <c r="B128" s="153" t="s">
        <v>20</v>
      </c>
      <c r="C128" s="154">
        <f aca="true" t="shared" si="46" ref="C128:J128">C129+C131</f>
        <v>0</v>
      </c>
      <c r="D128" s="154">
        <f t="shared" si="46"/>
        <v>0</v>
      </c>
      <c r="E128" s="154">
        <f t="shared" si="46"/>
        <v>0</v>
      </c>
      <c r="F128" s="154">
        <f t="shared" si="46"/>
        <v>0</v>
      </c>
      <c r="G128" s="74">
        <f t="shared" si="46"/>
        <v>0</v>
      </c>
      <c r="H128" s="154">
        <f t="shared" si="46"/>
        <v>0</v>
      </c>
      <c r="I128" s="154">
        <f t="shared" si="46"/>
        <v>0</v>
      </c>
      <c r="J128" s="154">
        <f t="shared" si="46"/>
        <v>0</v>
      </c>
      <c r="K128" s="154">
        <v>0</v>
      </c>
      <c r="L128" s="154">
        <v>0</v>
      </c>
      <c r="M128" s="155">
        <f>SUM(M130:M130)</f>
        <v>0</v>
      </c>
      <c r="N128" s="155">
        <f>SUM(N130:N130)</f>
        <v>0</v>
      </c>
    </row>
    <row r="129" spans="1:18" ht="13.5" customHeight="1">
      <c r="A129" s="152">
        <v>311</v>
      </c>
      <c r="B129" s="153" t="s">
        <v>44</v>
      </c>
      <c r="C129" s="154">
        <f>C130</f>
        <v>0</v>
      </c>
      <c r="D129" s="154">
        <f aca="true" t="shared" si="47" ref="D129:J129">D130</f>
        <v>0</v>
      </c>
      <c r="E129" s="154">
        <f t="shared" si="47"/>
        <v>0</v>
      </c>
      <c r="F129" s="154">
        <f t="shared" si="47"/>
        <v>0</v>
      </c>
      <c r="G129" s="74">
        <f t="shared" si="47"/>
        <v>0</v>
      </c>
      <c r="H129" s="154">
        <f t="shared" si="47"/>
        <v>0</v>
      </c>
      <c r="I129" s="154">
        <f t="shared" si="47"/>
        <v>0</v>
      </c>
      <c r="J129" s="154">
        <f t="shared" si="47"/>
        <v>0</v>
      </c>
      <c r="K129" s="154"/>
      <c r="L129" s="154"/>
      <c r="M129" s="155"/>
      <c r="N129" s="155"/>
      <c r="R129" s="163"/>
    </row>
    <row r="130" spans="1:18" ht="14.25" customHeight="1" hidden="1">
      <c r="A130" s="158">
        <v>3111</v>
      </c>
      <c r="B130" s="159" t="s">
        <v>45</v>
      </c>
      <c r="C130" s="160">
        <f>+SUM(D130:J130)</f>
        <v>0</v>
      </c>
      <c r="D130" s="160"/>
      <c r="E130" s="160"/>
      <c r="F130" s="160">
        <v>0</v>
      </c>
      <c r="G130" s="80"/>
      <c r="H130" s="160"/>
      <c r="I130" s="160"/>
      <c r="J130" s="160"/>
      <c r="K130" s="160"/>
      <c r="L130" s="160"/>
      <c r="M130" s="156">
        <v>0</v>
      </c>
      <c r="N130" s="156">
        <v>0</v>
      </c>
      <c r="R130" s="163"/>
    </row>
    <row r="131" spans="1:29" s="155" customFormat="1" ht="13.5" customHeight="1">
      <c r="A131" s="164">
        <v>313</v>
      </c>
      <c r="B131" s="153" t="s">
        <v>21</v>
      </c>
      <c r="C131" s="154">
        <f>SUM(C132:C133)</f>
        <v>0</v>
      </c>
      <c r="D131" s="154">
        <f>SUM(D132:D133)</f>
        <v>0</v>
      </c>
      <c r="E131" s="154">
        <f aca="true" t="shared" si="48" ref="E131:J131">SUM(E132:E133)</f>
        <v>0</v>
      </c>
      <c r="F131" s="154">
        <f t="shared" si="48"/>
        <v>0</v>
      </c>
      <c r="G131" s="74">
        <f t="shared" si="48"/>
        <v>0</v>
      </c>
      <c r="H131" s="154">
        <f t="shared" si="48"/>
        <v>0</v>
      </c>
      <c r="I131" s="154">
        <f t="shared" si="48"/>
        <v>0</v>
      </c>
      <c r="J131" s="154">
        <f t="shared" si="48"/>
        <v>0</v>
      </c>
      <c r="K131" s="154"/>
      <c r="L131" s="154"/>
      <c r="R131" s="1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</row>
    <row r="132" spans="1:18" ht="0.75" customHeight="1">
      <c r="A132" s="161">
        <v>3132</v>
      </c>
      <c r="B132" s="159" t="s">
        <v>47</v>
      </c>
      <c r="C132" s="160">
        <f>+SUM(D132:J132)</f>
        <v>0</v>
      </c>
      <c r="D132" s="165"/>
      <c r="E132" s="165"/>
      <c r="F132" s="165"/>
      <c r="G132" s="76"/>
      <c r="H132" s="165"/>
      <c r="I132" s="165"/>
      <c r="J132" s="165"/>
      <c r="K132" s="160"/>
      <c r="L132" s="160"/>
      <c r="M132" s="156">
        <v>0</v>
      </c>
      <c r="N132" s="156">
        <v>0</v>
      </c>
      <c r="R132" s="163"/>
    </row>
    <row r="133" spans="1:18" ht="29.25" customHeight="1" hidden="1">
      <c r="A133" s="161">
        <v>3133</v>
      </c>
      <c r="B133" s="159" t="s">
        <v>48</v>
      </c>
      <c r="C133" s="160">
        <f>+SUM(D133:J133)</f>
        <v>0</v>
      </c>
      <c r="D133" s="165">
        <v>0</v>
      </c>
      <c r="E133" s="165"/>
      <c r="F133" s="165"/>
      <c r="G133" s="76"/>
      <c r="H133" s="165"/>
      <c r="I133" s="165"/>
      <c r="J133" s="165"/>
      <c r="K133" s="160"/>
      <c r="L133" s="160"/>
      <c r="R133" s="163"/>
    </row>
    <row r="134" spans="1:18" ht="14.25" customHeight="1">
      <c r="A134" s="164">
        <v>32</v>
      </c>
      <c r="B134" s="153" t="s">
        <v>22</v>
      </c>
      <c r="C134" s="154">
        <f>C135+C137</f>
        <v>325000</v>
      </c>
      <c r="D134" s="154">
        <f>D135+D137</f>
        <v>325000</v>
      </c>
      <c r="E134" s="154">
        <f aca="true" t="shared" si="49" ref="C134:J135">E135</f>
        <v>0</v>
      </c>
      <c r="F134" s="154">
        <f t="shared" si="49"/>
        <v>0</v>
      </c>
      <c r="G134" s="74">
        <f t="shared" si="49"/>
        <v>0</v>
      </c>
      <c r="H134" s="154">
        <f t="shared" si="49"/>
        <v>0</v>
      </c>
      <c r="I134" s="154">
        <f t="shared" si="49"/>
        <v>0</v>
      </c>
      <c r="J134" s="154">
        <f t="shared" si="49"/>
        <v>0</v>
      </c>
      <c r="K134" s="154">
        <v>25000</v>
      </c>
      <c r="L134" s="154">
        <v>25000</v>
      </c>
      <c r="M134" s="156">
        <v>0</v>
      </c>
      <c r="N134" s="156">
        <v>0</v>
      </c>
      <c r="R134" s="163"/>
    </row>
    <row r="135" spans="1:29" s="155" customFormat="1" ht="14.25" customHeight="1">
      <c r="A135" s="164">
        <v>321</v>
      </c>
      <c r="B135" s="153" t="s">
        <v>23</v>
      </c>
      <c r="C135" s="154">
        <f t="shared" si="49"/>
        <v>25000</v>
      </c>
      <c r="D135" s="154">
        <f t="shared" si="49"/>
        <v>25000</v>
      </c>
      <c r="E135" s="154">
        <f t="shared" si="49"/>
        <v>0</v>
      </c>
      <c r="F135" s="154">
        <f t="shared" si="49"/>
        <v>0</v>
      </c>
      <c r="G135" s="74">
        <f t="shared" si="49"/>
        <v>0</v>
      </c>
      <c r="H135" s="154">
        <f t="shared" si="49"/>
        <v>0</v>
      </c>
      <c r="I135" s="154">
        <f t="shared" si="49"/>
        <v>0</v>
      </c>
      <c r="J135" s="154">
        <f t="shared" si="49"/>
        <v>0</v>
      </c>
      <c r="K135" s="154"/>
      <c r="L135" s="154"/>
      <c r="R135" s="1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</row>
    <row r="136" spans="1:12" ht="21.75" customHeight="1" hidden="1">
      <c r="A136" s="161">
        <v>3214</v>
      </c>
      <c r="B136" s="159" t="s">
        <v>52</v>
      </c>
      <c r="C136" s="160">
        <f>SUM(D136:J136)</f>
        <v>25000</v>
      </c>
      <c r="D136" s="162">
        <v>25000</v>
      </c>
      <c r="E136" s="162"/>
      <c r="F136" s="162"/>
      <c r="G136" s="75"/>
      <c r="H136" s="162"/>
      <c r="I136" s="162"/>
      <c r="J136" s="162"/>
      <c r="K136" s="160"/>
      <c r="L136" s="160"/>
    </row>
    <row r="137" spans="1:29" s="155" customFormat="1" ht="21" customHeight="1">
      <c r="A137" s="164">
        <v>323</v>
      </c>
      <c r="B137" s="153" t="s">
        <v>25</v>
      </c>
      <c r="C137" s="154">
        <f>C138</f>
        <v>300000</v>
      </c>
      <c r="D137" s="154">
        <f aca="true" t="shared" si="50" ref="D137:J137">D138</f>
        <v>300000</v>
      </c>
      <c r="E137" s="154">
        <f t="shared" si="50"/>
        <v>0</v>
      </c>
      <c r="F137" s="154">
        <f t="shared" si="50"/>
        <v>0</v>
      </c>
      <c r="G137" s="74">
        <f t="shared" si="50"/>
        <v>0</v>
      </c>
      <c r="H137" s="154">
        <f t="shared" si="50"/>
        <v>0</v>
      </c>
      <c r="I137" s="154">
        <f t="shared" si="50"/>
        <v>0</v>
      </c>
      <c r="J137" s="154">
        <f t="shared" si="50"/>
        <v>0</v>
      </c>
      <c r="K137" s="154">
        <v>300000</v>
      </c>
      <c r="L137" s="154">
        <v>300000</v>
      </c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</row>
    <row r="138" spans="1:18" ht="21.75" customHeight="1" hidden="1">
      <c r="A138" s="161">
        <v>3237</v>
      </c>
      <c r="B138" s="159" t="s">
        <v>171</v>
      </c>
      <c r="C138" s="160">
        <f>SUM(D138:J138)</f>
        <v>300000</v>
      </c>
      <c r="D138" s="160">
        <v>300000</v>
      </c>
      <c r="E138" s="160"/>
      <c r="F138" s="160"/>
      <c r="G138" s="80"/>
      <c r="H138" s="160"/>
      <c r="I138" s="160"/>
      <c r="J138" s="160"/>
      <c r="K138" s="160"/>
      <c r="L138" s="160"/>
      <c r="R138" s="203"/>
    </row>
    <row r="139" spans="1:29" s="187" customFormat="1" ht="32.25" customHeight="1">
      <c r="A139" s="335" t="s">
        <v>77</v>
      </c>
      <c r="B139" s="335"/>
      <c r="C139" s="199">
        <f>C127</f>
        <v>325000</v>
      </c>
      <c r="D139" s="199">
        <f>D127</f>
        <v>325000</v>
      </c>
      <c r="E139" s="199">
        <f aca="true" t="shared" si="51" ref="E139:J139">E127</f>
        <v>0</v>
      </c>
      <c r="F139" s="199">
        <f t="shared" si="51"/>
        <v>0</v>
      </c>
      <c r="G139" s="82">
        <f t="shared" si="51"/>
        <v>0</v>
      </c>
      <c r="H139" s="199">
        <f t="shared" si="51"/>
        <v>0</v>
      </c>
      <c r="I139" s="199">
        <f t="shared" si="51"/>
        <v>0</v>
      </c>
      <c r="J139" s="199">
        <f t="shared" si="51"/>
        <v>0</v>
      </c>
      <c r="K139" s="199">
        <f>K127</f>
        <v>25000</v>
      </c>
      <c r="L139" s="199">
        <f>L127</f>
        <v>25000</v>
      </c>
      <c r="M139" s="209" t="e">
        <f>M22+#REF!</f>
        <v>#REF!</v>
      </c>
      <c r="N139" s="199" t="e">
        <f>N22+#REF!</f>
        <v>#REF!</v>
      </c>
      <c r="R139" s="1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</row>
    <row r="140" spans="1:29" s="187" customFormat="1" ht="14.25" customHeight="1">
      <c r="A140" s="185"/>
      <c r="B140" s="210"/>
      <c r="C140" s="186"/>
      <c r="D140" s="186"/>
      <c r="E140" s="186"/>
      <c r="F140" s="186"/>
      <c r="G140" s="81"/>
      <c r="H140" s="186"/>
      <c r="I140" s="186"/>
      <c r="J140" s="186"/>
      <c r="K140" s="186"/>
      <c r="L140" s="186"/>
      <c r="M140" s="186"/>
      <c r="N140" s="186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</row>
    <row r="141" spans="1:29" s="187" customFormat="1" ht="14.25" customHeight="1">
      <c r="A141" s="185"/>
      <c r="B141" s="210"/>
      <c r="C141" s="186"/>
      <c r="D141" s="186"/>
      <c r="E141" s="186"/>
      <c r="F141" s="186"/>
      <c r="G141" s="81"/>
      <c r="H141" s="186"/>
      <c r="I141" s="186"/>
      <c r="J141" s="186"/>
      <c r="K141" s="186"/>
      <c r="L141" s="186"/>
      <c r="M141" s="186"/>
      <c r="N141" s="186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</row>
    <row r="142" spans="1:29" s="187" customFormat="1" ht="16.5" customHeight="1">
      <c r="A142" s="205" t="s">
        <v>31</v>
      </c>
      <c r="B142" s="207" t="s">
        <v>82</v>
      </c>
      <c r="C142" s="186"/>
      <c r="D142" s="186"/>
      <c r="E142" s="186"/>
      <c r="F142" s="186"/>
      <c r="G142" s="81"/>
      <c r="H142" s="186"/>
      <c r="I142" s="186"/>
      <c r="J142" s="186"/>
      <c r="K142" s="331" t="s">
        <v>162</v>
      </c>
      <c r="L142" s="331"/>
      <c r="M142" s="186"/>
      <c r="N142" s="186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</row>
    <row r="143" spans="1:29" s="139" customFormat="1" ht="14.25" customHeight="1">
      <c r="A143" s="211">
        <v>3</v>
      </c>
      <c r="B143" s="212" t="s">
        <v>43</v>
      </c>
      <c r="C143" s="213">
        <f aca="true" t="shared" si="52" ref="C143:L143">C144</f>
        <v>70000</v>
      </c>
      <c r="D143" s="213">
        <f t="shared" si="52"/>
        <v>70000</v>
      </c>
      <c r="E143" s="213">
        <f t="shared" si="52"/>
        <v>0</v>
      </c>
      <c r="F143" s="213">
        <f t="shared" si="52"/>
        <v>0</v>
      </c>
      <c r="G143" s="83">
        <f t="shared" si="52"/>
        <v>0</v>
      </c>
      <c r="H143" s="213">
        <f t="shared" si="52"/>
        <v>0</v>
      </c>
      <c r="I143" s="213">
        <f t="shared" si="52"/>
        <v>0</v>
      </c>
      <c r="J143" s="213">
        <f t="shared" si="52"/>
        <v>0</v>
      </c>
      <c r="K143" s="213">
        <f t="shared" si="52"/>
        <v>70000</v>
      </c>
      <c r="L143" s="213">
        <f t="shared" si="52"/>
        <v>70000</v>
      </c>
      <c r="M143" s="138"/>
      <c r="N143" s="13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</row>
    <row r="144" spans="1:14" ht="14.25" customHeight="1">
      <c r="A144" s="214">
        <v>31</v>
      </c>
      <c r="B144" s="215" t="s">
        <v>20</v>
      </c>
      <c r="C144" s="216">
        <f aca="true" t="shared" si="53" ref="C144:J144">C145+C147</f>
        <v>70000</v>
      </c>
      <c r="D144" s="216">
        <f t="shared" si="53"/>
        <v>70000</v>
      </c>
      <c r="E144" s="216">
        <f t="shared" si="53"/>
        <v>0</v>
      </c>
      <c r="F144" s="216">
        <f t="shared" si="53"/>
        <v>0</v>
      </c>
      <c r="G144" s="84">
        <f t="shared" si="53"/>
        <v>0</v>
      </c>
      <c r="H144" s="216">
        <f t="shared" si="53"/>
        <v>0</v>
      </c>
      <c r="I144" s="216">
        <f t="shared" si="53"/>
        <v>0</v>
      </c>
      <c r="J144" s="216">
        <f t="shared" si="53"/>
        <v>0</v>
      </c>
      <c r="K144" s="216">
        <v>70000</v>
      </c>
      <c r="L144" s="217">
        <v>70000</v>
      </c>
      <c r="M144" s="155">
        <f>SUM(M146:M146)</f>
        <v>0</v>
      </c>
      <c r="N144" s="155">
        <f>SUM(N146:N146)</f>
        <v>0</v>
      </c>
    </row>
    <row r="145" spans="1:14" ht="12.75" customHeight="1">
      <c r="A145" s="214">
        <v>311</v>
      </c>
      <c r="B145" s="215" t="s">
        <v>44</v>
      </c>
      <c r="C145" s="216">
        <f>C146</f>
        <v>60088</v>
      </c>
      <c r="D145" s="216">
        <f aca="true" t="shared" si="54" ref="D145:J145">D146</f>
        <v>60088</v>
      </c>
      <c r="E145" s="216">
        <f t="shared" si="54"/>
        <v>0</v>
      </c>
      <c r="F145" s="216">
        <f t="shared" si="54"/>
        <v>0</v>
      </c>
      <c r="G145" s="84">
        <f t="shared" si="54"/>
        <v>0</v>
      </c>
      <c r="H145" s="216">
        <f t="shared" si="54"/>
        <v>0</v>
      </c>
      <c r="I145" s="216">
        <f t="shared" si="54"/>
        <v>0</v>
      </c>
      <c r="J145" s="216">
        <f t="shared" si="54"/>
        <v>0</v>
      </c>
      <c r="K145" s="216"/>
      <c r="L145" s="217"/>
      <c r="M145" s="155"/>
      <c r="N145" s="155"/>
    </row>
    <row r="146" spans="1:14" ht="0.75" customHeight="1">
      <c r="A146" s="218">
        <v>3111</v>
      </c>
      <c r="B146" s="219" t="s">
        <v>45</v>
      </c>
      <c r="C146" s="220">
        <f>+SUM(D146:J146)</f>
        <v>60088</v>
      </c>
      <c r="D146" s="220">
        <v>60088</v>
      </c>
      <c r="E146" s="220"/>
      <c r="F146" s="220">
        <v>0</v>
      </c>
      <c r="G146" s="85"/>
      <c r="H146" s="220"/>
      <c r="I146" s="220"/>
      <c r="J146" s="220"/>
      <c r="K146" s="220"/>
      <c r="L146" s="221"/>
      <c r="M146" s="156">
        <v>0</v>
      </c>
      <c r="N146" s="156">
        <v>0</v>
      </c>
    </row>
    <row r="147" spans="1:29" s="155" customFormat="1" ht="15" customHeight="1">
      <c r="A147" s="222">
        <v>313</v>
      </c>
      <c r="B147" s="223" t="s">
        <v>21</v>
      </c>
      <c r="C147" s="224">
        <f aca="true" t="shared" si="55" ref="C147:J147">SUM(C148:C149)</f>
        <v>9912</v>
      </c>
      <c r="D147" s="224">
        <f t="shared" si="55"/>
        <v>9912</v>
      </c>
      <c r="E147" s="224">
        <f t="shared" si="55"/>
        <v>0</v>
      </c>
      <c r="F147" s="224">
        <f t="shared" si="55"/>
        <v>0</v>
      </c>
      <c r="G147" s="86">
        <f t="shared" si="55"/>
        <v>0</v>
      </c>
      <c r="H147" s="224">
        <f t="shared" si="55"/>
        <v>0</v>
      </c>
      <c r="I147" s="224">
        <f t="shared" si="55"/>
        <v>0</v>
      </c>
      <c r="J147" s="224">
        <f t="shared" si="55"/>
        <v>0</v>
      </c>
      <c r="K147" s="224"/>
      <c r="L147" s="225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</row>
    <row r="148" spans="1:14" ht="0.75" customHeight="1">
      <c r="A148" s="226">
        <v>3132</v>
      </c>
      <c r="B148" s="219" t="s">
        <v>47</v>
      </c>
      <c r="C148" s="220">
        <f>+SUM(D148:J148)</f>
        <v>9912</v>
      </c>
      <c r="D148" s="227">
        <v>9912</v>
      </c>
      <c r="E148" s="227"/>
      <c r="F148" s="227"/>
      <c r="G148" s="87"/>
      <c r="H148" s="227"/>
      <c r="I148" s="227"/>
      <c r="J148" s="227"/>
      <c r="K148" s="220"/>
      <c r="L148" s="221"/>
      <c r="M148" s="156">
        <v>0</v>
      </c>
      <c r="N148" s="156">
        <v>0</v>
      </c>
    </row>
    <row r="149" spans="1:12" ht="28.5" customHeight="1" hidden="1">
      <c r="A149" s="226">
        <v>3133</v>
      </c>
      <c r="B149" s="219" t="s">
        <v>48</v>
      </c>
      <c r="C149" s="220">
        <f>+SUM(D149:J149)</f>
        <v>0</v>
      </c>
      <c r="D149" s="228">
        <v>0</v>
      </c>
      <c r="E149" s="228"/>
      <c r="F149" s="228"/>
      <c r="G149" s="88"/>
      <c r="H149" s="228"/>
      <c r="I149" s="228"/>
      <c r="J149" s="228"/>
      <c r="K149" s="229"/>
      <c r="L149" s="230"/>
    </row>
    <row r="150" spans="1:29" s="187" customFormat="1" ht="32.25" customHeight="1">
      <c r="A150" s="338" t="s">
        <v>77</v>
      </c>
      <c r="B150" s="339"/>
      <c r="C150" s="199">
        <f>C143</f>
        <v>70000</v>
      </c>
      <c r="D150" s="199">
        <f>D143</f>
        <v>70000</v>
      </c>
      <c r="E150" s="199">
        <f aca="true" t="shared" si="56" ref="E150:L150">E143</f>
        <v>0</v>
      </c>
      <c r="F150" s="199">
        <f t="shared" si="56"/>
        <v>0</v>
      </c>
      <c r="G150" s="82">
        <f t="shared" si="56"/>
        <v>0</v>
      </c>
      <c r="H150" s="199">
        <f t="shared" si="56"/>
        <v>0</v>
      </c>
      <c r="I150" s="199">
        <f t="shared" si="56"/>
        <v>0</v>
      </c>
      <c r="J150" s="199">
        <f t="shared" si="56"/>
        <v>0</v>
      </c>
      <c r="K150" s="199">
        <f t="shared" si="56"/>
        <v>70000</v>
      </c>
      <c r="L150" s="199">
        <f t="shared" si="56"/>
        <v>70000</v>
      </c>
      <c r="M150" s="199">
        <f>M37+M134</f>
        <v>0</v>
      </c>
      <c r="N150" s="199">
        <f>N37+N134</f>
        <v>0</v>
      </c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</row>
    <row r="151" spans="1:29" s="187" customFormat="1" ht="14.25" customHeight="1">
      <c r="A151" s="185"/>
      <c r="B151" s="210"/>
      <c r="C151" s="186"/>
      <c r="D151" s="186"/>
      <c r="E151" s="186"/>
      <c r="F151" s="186"/>
      <c r="G151" s="81"/>
      <c r="H151" s="186"/>
      <c r="I151" s="186"/>
      <c r="J151" s="186"/>
      <c r="K151" s="186"/>
      <c r="L151" s="186"/>
      <c r="M151" s="186"/>
      <c r="N151" s="186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</row>
    <row r="152" spans="1:29" s="187" customFormat="1" ht="14.25" customHeight="1" hidden="1">
      <c r="A152" s="185"/>
      <c r="B152" s="210"/>
      <c r="C152" s="186"/>
      <c r="D152" s="186"/>
      <c r="E152" s="186"/>
      <c r="F152" s="186"/>
      <c r="G152" s="81"/>
      <c r="H152" s="186"/>
      <c r="I152" s="186"/>
      <c r="J152" s="186"/>
      <c r="K152" s="186"/>
      <c r="L152" s="186"/>
      <c r="M152" s="186"/>
      <c r="N152" s="186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</row>
    <row r="153" spans="1:29" s="187" customFormat="1" ht="16.5" customHeight="1" hidden="1">
      <c r="A153" s="205" t="s">
        <v>31</v>
      </c>
      <c r="B153" s="207" t="s">
        <v>83</v>
      </c>
      <c r="C153" s="186"/>
      <c r="D153" s="186"/>
      <c r="E153" s="186"/>
      <c r="F153" s="186"/>
      <c r="G153" s="81"/>
      <c r="H153" s="186"/>
      <c r="I153" s="186"/>
      <c r="J153" s="186"/>
      <c r="K153" s="331" t="s">
        <v>163</v>
      </c>
      <c r="L153" s="331"/>
      <c r="M153" s="186"/>
      <c r="N153" s="186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</row>
    <row r="154" spans="1:29" s="139" customFormat="1" ht="14.25" customHeight="1" hidden="1">
      <c r="A154" s="211">
        <v>3</v>
      </c>
      <c r="B154" s="212" t="s">
        <v>43</v>
      </c>
      <c r="C154" s="213">
        <f aca="true" t="shared" si="57" ref="C154:L154">C155</f>
        <v>0</v>
      </c>
      <c r="D154" s="213">
        <f t="shared" si="57"/>
        <v>0</v>
      </c>
      <c r="E154" s="213">
        <f t="shared" si="57"/>
        <v>0</v>
      </c>
      <c r="F154" s="213">
        <f t="shared" si="57"/>
        <v>0</v>
      </c>
      <c r="G154" s="83">
        <f t="shared" si="57"/>
        <v>0</v>
      </c>
      <c r="H154" s="213">
        <f t="shared" si="57"/>
        <v>0</v>
      </c>
      <c r="I154" s="213">
        <f t="shared" si="57"/>
        <v>0</v>
      </c>
      <c r="J154" s="213">
        <f t="shared" si="57"/>
        <v>0</v>
      </c>
      <c r="K154" s="213">
        <f t="shared" si="57"/>
        <v>0</v>
      </c>
      <c r="L154" s="213">
        <f t="shared" si="57"/>
        <v>0</v>
      </c>
      <c r="M154" s="138"/>
      <c r="N154" s="13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</row>
    <row r="155" spans="1:14" ht="14.25" customHeight="1" hidden="1">
      <c r="A155" s="214">
        <v>31</v>
      </c>
      <c r="B155" s="215" t="s">
        <v>20</v>
      </c>
      <c r="C155" s="216">
        <f aca="true" t="shared" si="58" ref="C155:J155">C156+C158</f>
        <v>0</v>
      </c>
      <c r="D155" s="216">
        <f t="shared" si="58"/>
        <v>0</v>
      </c>
      <c r="E155" s="216">
        <f t="shared" si="58"/>
        <v>0</v>
      </c>
      <c r="F155" s="216">
        <f t="shared" si="58"/>
        <v>0</v>
      </c>
      <c r="G155" s="84">
        <f t="shared" si="58"/>
        <v>0</v>
      </c>
      <c r="H155" s="216">
        <f t="shared" si="58"/>
        <v>0</v>
      </c>
      <c r="I155" s="216">
        <f t="shared" si="58"/>
        <v>0</v>
      </c>
      <c r="J155" s="216">
        <f t="shared" si="58"/>
        <v>0</v>
      </c>
      <c r="K155" s="216">
        <v>0</v>
      </c>
      <c r="L155" s="217">
        <v>0</v>
      </c>
      <c r="M155" s="155">
        <f>SUM(M157:M157)</f>
        <v>0</v>
      </c>
      <c r="N155" s="155">
        <f>SUM(N157:N157)</f>
        <v>0</v>
      </c>
    </row>
    <row r="156" spans="1:14" ht="14.25" customHeight="1" hidden="1">
      <c r="A156" s="214">
        <v>311</v>
      </c>
      <c r="B156" s="215" t="s">
        <v>44</v>
      </c>
      <c r="C156" s="216">
        <f>C157</f>
        <v>0</v>
      </c>
      <c r="D156" s="216">
        <f aca="true" t="shared" si="59" ref="D156:J156">D157</f>
        <v>0</v>
      </c>
      <c r="E156" s="216">
        <f t="shared" si="59"/>
        <v>0</v>
      </c>
      <c r="F156" s="216">
        <f t="shared" si="59"/>
        <v>0</v>
      </c>
      <c r="G156" s="84">
        <f t="shared" si="59"/>
        <v>0</v>
      </c>
      <c r="H156" s="216">
        <f t="shared" si="59"/>
        <v>0</v>
      </c>
      <c r="I156" s="216">
        <f t="shared" si="59"/>
        <v>0</v>
      </c>
      <c r="J156" s="216">
        <f t="shared" si="59"/>
        <v>0</v>
      </c>
      <c r="K156" s="216"/>
      <c r="L156" s="217"/>
      <c r="M156" s="155"/>
      <c r="N156" s="155"/>
    </row>
    <row r="157" spans="1:14" ht="12.75" customHeight="1" hidden="1">
      <c r="A157" s="218">
        <v>3111</v>
      </c>
      <c r="B157" s="219" t="s">
        <v>45</v>
      </c>
      <c r="C157" s="220">
        <f>+SUM(D157:J157)</f>
        <v>0</v>
      </c>
      <c r="D157" s="220"/>
      <c r="E157" s="220"/>
      <c r="F157" s="220">
        <v>0</v>
      </c>
      <c r="G157" s="85"/>
      <c r="H157" s="220"/>
      <c r="I157" s="220"/>
      <c r="J157" s="220"/>
      <c r="K157" s="220"/>
      <c r="L157" s="221"/>
      <c r="M157" s="156">
        <v>0</v>
      </c>
      <c r="N157" s="156">
        <v>0</v>
      </c>
    </row>
    <row r="158" spans="1:29" s="155" customFormat="1" ht="14.25" customHeight="1" hidden="1">
      <c r="A158" s="222">
        <v>313</v>
      </c>
      <c r="B158" s="223" t="s">
        <v>21</v>
      </c>
      <c r="C158" s="224">
        <f aca="true" t="shared" si="60" ref="C158:J158">SUM(C159:C160)</f>
        <v>0</v>
      </c>
      <c r="D158" s="224">
        <f t="shared" si="60"/>
        <v>0</v>
      </c>
      <c r="E158" s="224">
        <f t="shared" si="60"/>
        <v>0</v>
      </c>
      <c r="F158" s="224">
        <f t="shared" si="60"/>
        <v>0</v>
      </c>
      <c r="G158" s="86">
        <f t="shared" si="60"/>
        <v>0</v>
      </c>
      <c r="H158" s="224">
        <f t="shared" si="60"/>
        <v>0</v>
      </c>
      <c r="I158" s="224">
        <f t="shared" si="60"/>
        <v>0</v>
      </c>
      <c r="J158" s="224">
        <f t="shared" si="60"/>
        <v>0</v>
      </c>
      <c r="K158" s="224"/>
      <c r="L158" s="225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</row>
    <row r="159" spans="1:14" ht="16.5" customHeight="1" hidden="1">
      <c r="A159" s="226">
        <v>3132</v>
      </c>
      <c r="B159" s="219" t="s">
        <v>47</v>
      </c>
      <c r="C159" s="220">
        <f>+SUM(D159:J159)</f>
        <v>0</v>
      </c>
      <c r="D159" s="227"/>
      <c r="E159" s="227"/>
      <c r="F159" s="227"/>
      <c r="G159" s="87"/>
      <c r="H159" s="227"/>
      <c r="I159" s="227"/>
      <c r="J159" s="227"/>
      <c r="K159" s="220"/>
      <c r="L159" s="221"/>
      <c r="M159" s="156">
        <v>0</v>
      </c>
      <c r="N159" s="156">
        <v>0</v>
      </c>
    </row>
    <row r="160" spans="1:12" ht="25.5" customHeight="1" hidden="1">
      <c r="A160" s="226">
        <v>3133</v>
      </c>
      <c r="B160" s="219" t="s">
        <v>48</v>
      </c>
      <c r="C160" s="220">
        <f>+SUM(D160:J160)</f>
        <v>0</v>
      </c>
      <c r="D160" s="228">
        <v>0</v>
      </c>
      <c r="E160" s="228"/>
      <c r="F160" s="228"/>
      <c r="G160" s="88"/>
      <c r="H160" s="228"/>
      <c r="I160" s="228"/>
      <c r="J160" s="228"/>
      <c r="K160" s="229"/>
      <c r="L160" s="230"/>
    </row>
    <row r="161" spans="1:29" s="187" customFormat="1" ht="32.25" customHeight="1" hidden="1">
      <c r="A161" s="338" t="s">
        <v>77</v>
      </c>
      <c r="B161" s="339"/>
      <c r="C161" s="199">
        <f>C154</f>
        <v>0</v>
      </c>
      <c r="D161" s="199">
        <f>D154</f>
        <v>0</v>
      </c>
      <c r="E161" s="199">
        <f aca="true" t="shared" si="61" ref="E161:L161">E154</f>
        <v>0</v>
      </c>
      <c r="F161" s="199">
        <f t="shared" si="61"/>
        <v>0</v>
      </c>
      <c r="G161" s="82">
        <f t="shared" si="61"/>
        <v>0</v>
      </c>
      <c r="H161" s="199">
        <f t="shared" si="61"/>
        <v>0</v>
      </c>
      <c r="I161" s="199">
        <f t="shared" si="61"/>
        <v>0</v>
      </c>
      <c r="J161" s="199">
        <f t="shared" si="61"/>
        <v>0</v>
      </c>
      <c r="K161" s="199">
        <f t="shared" si="61"/>
        <v>0</v>
      </c>
      <c r="L161" s="199">
        <f t="shared" si="61"/>
        <v>0</v>
      </c>
      <c r="M161" s="199">
        <f>M49+M147</f>
        <v>0</v>
      </c>
      <c r="N161" s="199">
        <f>N49+N147</f>
        <v>0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</row>
    <row r="162" spans="1:29" s="187" customFormat="1" ht="14.25" customHeight="1">
      <c r="A162" s="185"/>
      <c r="B162" s="210"/>
      <c r="C162" s="186"/>
      <c r="D162" s="186">
        <f>D161+D150+D139</f>
        <v>395000</v>
      </c>
      <c r="E162" s="186"/>
      <c r="F162" s="186"/>
      <c r="G162" s="81"/>
      <c r="H162" s="186"/>
      <c r="I162" s="186"/>
      <c r="J162" s="186"/>
      <c r="K162" s="186"/>
      <c r="L162" s="186"/>
      <c r="M162" s="186"/>
      <c r="N162" s="186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</row>
    <row r="163" spans="1:29" s="187" customFormat="1" ht="14.25" customHeight="1">
      <c r="A163" s="185"/>
      <c r="B163" s="210"/>
      <c r="C163" s="186"/>
      <c r="D163" s="186"/>
      <c r="E163" s="186"/>
      <c r="F163" s="186"/>
      <c r="G163" s="81"/>
      <c r="H163" s="186"/>
      <c r="I163" s="186"/>
      <c r="J163" s="186"/>
      <c r="K163" s="186"/>
      <c r="L163" s="186"/>
      <c r="M163" s="186"/>
      <c r="N163" s="186"/>
      <c r="O163" s="187">
        <f>L139+L150+L161+2001720</f>
        <v>2096720</v>
      </c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</row>
    <row r="164" spans="1:29" s="187" customFormat="1" ht="16.5" customHeight="1">
      <c r="A164" s="185"/>
      <c r="B164" s="206" t="s">
        <v>96</v>
      </c>
      <c r="C164" s="186"/>
      <c r="D164" s="186"/>
      <c r="E164" s="186"/>
      <c r="F164" s="186"/>
      <c r="G164" s="81"/>
      <c r="H164" s="186"/>
      <c r="I164" s="186"/>
      <c r="J164" s="186"/>
      <c r="K164" s="186"/>
      <c r="L164" s="186"/>
      <c r="M164" s="186"/>
      <c r="N164" s="186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</row>
    <row r="165" spans="1:29" s="187" customFormat="1" ht="26.25" customHeight="1">
      <c r="A165" s="205" t="s">
        <v>31</v>
      </c>
      <c r="B165" s="207" t="s">
        <v>84</v>
      </c>
      <c r="C165" s="186"/>
      <c r="D165" s="186"/>
      <c r="E165" s="186"/>
      <c r="F165" s="186"/>
      <c r="G165" s="81"/>
      <c r="H165" s="186"/>
      <c r="I165" s="186"/>
      <c r="J165" s="186"/>
      <c r="K165" s="331" t="s">
        <v>164</v>
      </c>
      <c r="L165" s="331"/>
      <c r="M165" s="186"/>
      <c r="N165" s="186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</row>
    <row r="166" spans="1:29" s="139" customFormat="1" ht="14.25" customHeight="1">
      <c r="A166" s="152">
        <v>3</v>
      </c>
      <c r="B166" s="153" t="s">
        <v>43</v>
      </c>
      <c r="C166" s="154">
        <f>C167+C170</f>
        <v>2928428</v>
      </c>
      <c r="D166" s="154">
        <f>D167+D170</f>
        <v>2928428</v>
      </c>
      <c r="E166" s="154">
        <f aca="true" t="shared" si="62" ref="E166:J166">E167+E170</f>
        <v>0</v>
      </c>
      <c r="F166" s="154">
        <f t="shared" si="62"/>
        <v>0</v>
      </c>
      <c r="G166" s="74">
        <f t="shared" si="62"/>
        <v>0</v>
      </c>
      <c r="H166" s="154">
        <f t="shared" si="62"/>
        <v>0</v>
      </c>
      <c r="I166" s="154">
        <f t="shared" si="62"/>
        <v>0</v>
      </c>
      <c r="J166" s="154">
        <f t="shared" si="62"/>
        <v>0</v>
      </c>
      <c r="K166" s="154">
        <f>K167+K170</f>
        <v>4637666</v>
      </c>
      <c r="L166" s="154">
        <f>L167+L170</f>
        <v>4637666</v>
      </c>
      <c r="M166" s="138"/>
      <c r="N166" s="138"/>
      <c r="R166" s="128"/>
      <c r="S166" s="27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</row>
    <row r="167" spans="1:14" ht="14.25" customHeight="1">
      <c r="A167" s="164">
        <v>32</v>
      </c>
      <c r="B167" s="153" t="s">
        <v>22</v>
      </c>
      <c r="C167" s="154">
        <f>C168</f>
        <v>1842570</v>
      </c>
      <c r="D167" s="154">
        <f>D168</f>
        <v>1842570</v>
      </c>
      <c r="E167" s="154">
        <f aca="true" t="shared" si="63" ref="E167:J168">E168</f>
        <v>0</v>
      </c>
      <c r="F167" s="154">
        <f t="shared" si="63"/>
        <v>0</v>
      </c>
      <c r="G167" s="74">
        <f t="shared" si="63"/>
        <v>0</v>
      </c>
      <c r="H167" s="154">
        <f t="shared" si="63"/>
        <v>0</v>
      </c>
      <c r="I167" s="154">
        <f t="shared" si="63"/>
        <v>0</v>
      </c>
      <c r="J167" s="154">
        <f t="shared" si="63"/>
        <v>0</v>
      </c>
      <c r="K167" s="154">
        <v>3438899</v>
      </c>
      <c r="L167" s="154">
        <v>3492227</v>
      </c>
      <c r="M167" s="156">
        <v>0</v>
      </c>
      <c r="N167" s="156">
        <v>0</v>
      </c>
    </row>
    <row r="168" spans="1:29" s="155" customFormat="1" ht="18" customHeight="1">
      <c r="A168" s="164">
        <v>323</v>
      </c>
      <c r="B168" s="153" t="s">
        <v>25</v>
      </c>
      <c r="C168" s="154">
        <f>C169</f>
        <v>1842570</v>
      </c>
      <c r="D168" s="154">
        <f>D169</f>
        <v>1842570</v>
      </c>
      <c r="E168" s="154">
        <f t="shared" si="63"/>
        <v>0</v>
      </c>
      <c r="F168" s="154">
        <f t="shared" si="63"/>
        <v>0</v>
      </c>
      <c r="G168" s="74">
        <f t="shared" si="63"/>
        <v>0</v>
      </c>
      <c r="H168" s="154">
        <f t="shared" si="63"/>
        <v>0</v>
      </c>
      <c r="I168" s="154">
        <f t="shared" si="63"/>
        <v>0</v>
      </c>
      <c r="J168" s="154">
        <f t="shared" si="63"/>
        <v>0</v>
      </c>
      <c r="K168" s="154"/>
      <c r="L168" s="154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</row>
    <row r="169" spans="1:12" ht="17.25" customHeight="1" hidden="1">
      <c r="A169" s="161">
        <v>3232</v>
      </c>
      <c r="B169" s="159" t="s">
        <v>60</v>
      </c>
      <c r="C169" s="160">
        <f>+SUM(D169:J169)</f>
        <v>1842570</v>
      </c>
      <c r="D169" s="162">
        <v>1842570</v>
      </c>
      <c r="E169" s="162"/>
      <c r="F169" s="162"/>
      <c r="G169" s="75"/>
      <c r="H169" s="162"/>
      <c r="I169" s="162"/>
      <c r="J169" s="162"/>
      <c r="K169" s="160"/>
      <c r="L169" s="160"/>
    </row>
    <row r="170" spans="1:12" ht="15.75">
      <c r="A170" s="164">
        <v>34</v>
      </c>
      <c r="B170" s="153" t="s">
        <v>72</v>
      </c>
      <c r="C170" s="154">
        <f>C171+C173</f>
        <v>1085858</v>
      </c>
      <c r="D170" s="154">
        <f>D171+D173</f>
        <v>1085858</v>
      </c>
      <c r="E170" s="154">
        <f aca="true" t="shared" si="64" ref="E170:J170">SUM(E171:E173)</f>
        <v>0</v>
      </c>
      <c r="F170" s="154">
        <f t="shared" si="64"/>
        <v>0</v>
      </c>
      <c r="G170" s="74">
        <f t="shared" si="64"/>
        <v>0</v>
      </c>
      <c r="H170" s="154">
        <f t="shared" si="64"/>
        <v>0</v>
      </c>
      <c r="I170" s="154">
        <f t="shared" si="64"/>
        <v>0</v>
      </c>
      <c r="J170" s="154">
        <f t="shared" si="64"/>
        <v>0</v>
      </c>
      <c r="K170" s="154">
        <v>1198767</v>
      </c>
      <c r="L170" s="154">
        <v>1145439</v>
      </c>
    </row>
    <row r="171" spans="1:29" s="155" customFormat="1" ht="30" customHeight="1">
      <c r="A171" s="164">
        <v>342</v>
      </c>
      <c r="B171" s="153" t="s">
        <v>97</v>
      </c>
      <c r="C171" s="154">
        <f>+SUM(D171:J171)</f>
        <v>1030218</v>
      </c>
      <c r="D171" s="154">
        <f>D172</f>
        <v>1030218</v>
      </c>
      <c r="E171" s="154"/>
      <c r="F171" s="154"/>
      <c r="G171" s="74"/>
      <c r="H171" s="154"/>
      <c r="I171" s="154"/>
      <c r="J171" s="154"/>
      <c r="K171" s="154">
        <v>949885</v>
      </c>
      <c r="L171" s="154">
        <v>870612</v>
      </c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</row>
    <row r="172" spans="1:12" ht="41.25" customHeight="1" hidden="1">
      <c r="A172" s="161">
        <v>3423</v>
      </c>
      <c r="B172" s="159" t="s">
        <v>98</v>
      </c>
      <c r="C172" s="160">
        <f>+SUM(D172:J172)</f>
        <v>1030218</v>
      </c>
      <c r="D172" s="160">
        <v>1030218</v>
      </c>
      <c r="E172" s="160"/>
      <c r="F172" s="160"/>
      <c r="G172" s="80"/>
      <c r="H172" s="160"/>
      <c r="I172" s="160"/>
      <c r="J172" s="160"/>
      <c r="K172" s="160"/>
      <c r="L172" s="160"/>
    </row>
    <row r="173" spans="1:29" s="155" customFormat="1" ht="15.75">
      <c r="A173" s="164">
        <v>343</v>
      </c>
      <c r="B173" s="153" t="s">
        <v>27</v>
      </c>
      <c r="C173" s="154">
        <f>+SUM(D173:J173)</f>
        <v>55640</v>
      </c>
      <c r="D173" s="154">
        <f>SUM(D174:D175)</f>
        <v>55640</v>
      </c>
      <c r="E173" s="154"/>
      <c r="F173" s="154"/>
      <c r="G173" s="74"/>
      <c r="H173" s="154"/>
      <c r="I173" s="154"/>
      <c r="J173" s="154"/>
      <c r="K173" s="154">
        <v>55640</v>
      </c>
      <c r="L173" s="154">
        <v>55640</v>
      </c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</row>
    <row r="174" spans="1:12" ht="0.75" customHeight="1">
      <c r="A174" s="161">
        <v>3431</v>
      </c>
      <c r="B174" s="159" t="s">
        <v>155</v>
      </c>
      <c r="C174" s="160">
        <f>+SUM(D174:J174)</f>
        <v>0</v>
      </c>
      <c r="D174" s="160">
        <v>0</v>
      </c>
      <c r="E174" s="160"/>
      <c r="F174" s="160"/>
      <c r="G174" s="80"/>
      <c r="H174" s="160"/>
      <c r="I174" s="160"/>
      <c r="J174" s="160"/>
      <c r="K174" s="160"/>
      <c r="L174" s="160"/>
    </row>
    <row r="175" spans="1:12" ht="29.25" customHeight="1" hidden="1">
      <c r="A175" s="161">
        <v>3432</v>
      </c>
      <c r="B175" s="159" t="s">
        <v>99</v>
      </c>
      <c r="C175" s="160">
        <f>+SUM(D175:J175)</f>
        <v>55640</v>
      </c>
      <c r="D175" s="160">
        <v>55640</v>
      </c>
      <c r="E175" s="160"/>
      <c r="F175" s="160"/>
      <c r="G175" s="80"/>
      <c r="H175" s="160"/>
      <c r="I175" s="160"/>
      <c r="J175" s="160"/>
      <c r="K175" s="160"/>
      <c r="L175" s="160"/>
    </row>
    <row r="176" spans="1:29" s="187" customFormat="1" ht="32.25" customHeight="1">
      <c r="A176" s="335" t="s">
        <v>77</v>
      </c>
      <c r="B176" s="335"/>
      <c r="C176" s="199">
        <f>C166</f>
        <v>2928428</v>
      </c>
      <c r="D176" s="199">
        <f>D166</f>
        <v>2928428</v>
      </c>
      <c r="E176" s="199">
        <f aca="true" t="shared" si="65" ref="E176:J176">E166</f>
        <v>0</v>
      </c>
      <c r="F176" s="199">
        <f t="shared" si="65"/>
        <v>0</v>
      </c>
      <c r="G176" s="82">
        <f t="shared" si="65"/>
        <v>0</v>
      </c>
      <c r="H176" s="199">
        <f t="shared" si="65"/>
        <v>0</v>
      </c>
      <c r="I176" s="199">
        <f t="shared" si="65"/>
        <v>0</v>
      </c>
      <c r="J176" s="199">
        <f t="shared" si="65"/>
        <v>0</v>
      </c>
      <c r="K176" s="199">
        <f>K166</f>
        <v>4637666</v>
      </c>
      <c r="L176" s="199">
        <f>L166</f>
        <v>4637666</v>
      </c>
      <c r="M176" s="209" t="e">
        <f>#REF!+M159</f>
        <v>#REF!</v>
      </c>
      <c r="N176" s="199" t="e">
        <f>#REF!+N159</f>
        <v>#REF!</v>
      </c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</row>
    <row r="177" spans="1:29" s="187" customFormat="1" ht="14.25" customHeight="1">
      <c r="A177" s="185"/>
      <c r="B177" s="210"/>
      <c r="C177" s="186"/>
      <c r="D177" s="186"/>
      <c r="E177" s="186"/>
      <c r="F177" s="186"/>
      <c r="G177" s="81"/>
      <c r="H177" s="186"/>
      <c r="I177" s="186"/>
      <c r="J177" s="186"/>
      <c r="K177" s="186"/>
      <c r="L177" s="186"/>
      <c r="M177" s="186"/>
      <c r="N177" s="186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</row>
    <row r="178" spans="1:29" s="187" customFormat="1" ht="14.25" customHeight="1">
      <c r="A178" s="185"/>
      <c r="B178" s="210"/>
      <c r="C178" s="186"/>
      <c r="D178" s="186"/>
      <c r="E178" s="186"/>
      <c r="F178" s="186"/>
      <c r="G178" s="81"/>
      <c r="H178" s="186"/>
      <c r="I178" s="186"/>
      <c r="J178" s="186"/>
      <c r="K178" s="186"/>
      <c r="L178" s="186"/>
      <c r="M178" s="186"/>
      <c r="N178" s="186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</row>
    <row r="179" spans="1:12" ht="32.25" customHeight="1">
      <c r="A179" s="200" t="s">
        <v>32</v>
      </c>
      <c r="B179" s="231" t="s">
        <v>85</v>
      </c>
      <c r="C179" s="232"/>
      <c r="D179" s="233"/>
      <c r="E179" s="233"/>
      <c r="F179" s="233"/>
      <c r="G179" s="89"/>
      <c r="H179" s="233"/>
      <c r="I179" s="233"/>
      <c r="J179" s="233"/>
      <c r="K179" s="331" t="s">
        <v>165</v>
      </c>
      <c r="L179" s="331"/>
    </row>
    <row r="180" spans="1:12" ht="25.5">
      <c r="A180" s="164">
        <v>4</v>
      </c>
      <c r="B180" s="153" t="s">
        <v>78</v>
      </c>
      <c r="C180" s="154">
        <f>C181+C189</f>
        <v>2009238</v>
      </c>
      <c r="D180" s="154">
        <f>D181+D189</f>
        <v>2009238</v>
      </c>
      <c r="E180" s="154">
        <f aca="true" t="shared" si="66" ref="E180:J180">E181+E189</f>
        <v>0</v>
      </c>
      <c r="F180" s="154">
        <f t="shared" si="66"/>
        <v>0</v>
      </c>
      <c r="G180" s="154">
        <f t="shared" si="66"/>
        <v>0</v>
      </c>
      <c r="H180" s="154">
        <f t="shared" si="66"/>
        <v>0</v>
      </c>
      <c r="I180" s="154">
        <f t="shared" si="66"/>
        <v>0</v>
      </c>
      <c r="J180" s="154">
        <f t="shared" si="66"/>
        <v>0</v>
      </c>
      <c r="K180" s="154">
        <f>K181+K189</f>
        <v>300000</v>
      </c>
      <c r="L180" s="154">
        <f>L181+L189</f>
        <v>300000</v>
      </c>
    </row>
    <row r="181" spans="1:12" ht="30.75" customHeight="1">
      <c r="A181" s="164">
        <v>42</v>
      </c>
      <c r="B181" s="153" t="s">
        <v>79</v>
      </c>
      <c r="C181" s="154">
        <f>C182+C187</f>
        <v>2009238</v>
      </c>
      <c r="D181" s="154">
        <f>D182+D187</f>
        <v>2009238</v>
      </c>
      <c r="E181" s="154">
        <f aca="true" t="shared" si="67" ref="E181:J181">E182+E187</f>
        <v>0</v>
      </c>
      <c r="F181" s="154">
        <f t="shared" si="67"/>
        <v>0</v>
      </c>
      <c r="G181" s="74">
        <f t="shared" si="67"/>
        <v>0</v>
      </c>
      <c r="H181" s="154">
        <f t="shared" si="67"/>
        <v>0</v>
      </c>
      <c r="I181" s="154">
        <f t="shared" si="67"/>
        <v>0</v>
      </c>
      <c r="J181" s="154">
        <f t="shared" si="67"/>
        <v>0</v>
      </c>
      <c r="K181" s="74">
        <v>300000</v>
      </c>
      <c r="L181" s="74">
        <v>300000</v>
      </c>
    </row>
    <row r="182" spans="1:29" s="155" customFormat="1" ht="13.5" customHeight="1">
      <c r="A182" s="164">
        <v>422</v>
      </c>
      <c r="B182" s="153" t="s">
        <v>28</v>
      </c>
      <c r="C182" s="154">
        <f>SUM(C183:C186)</f>
        <v>2009238</v>
      </c>
      <c r="D182" s="154">
        <f>SUM(D183:D186)</f>
        <v>2009238</v>
      </c>
      <c r="E182" s="154">
        <f aca="true" t="shared" si="68" ref="E182:J182">SUM(E183)</f>
        <v>0</v>
      </c>
      <c r="F182" s="154">
        <f t="shared" si="68"/>
        <v>0</v>
      </c>
      <c r="G182" s="74">
        <f t="shared" si="68"/>
        <v>0</v>
      </c>
      <c r="H182" s="154">
        <f t="shared" si="68"/>
        <v>0</v>
      </c>
      <c r="I182" s="154">
        <f t="shared" si="68"/>
        <v>0</v>
      </c>
      <c r="J182" s="154">
        <f t="shared" si="68"/>
        <v>0</v>
      </c>
      <c r="K182" s="154"/>
      <c r="L182" s="154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</row>
    <row r="183" spans="1:12" ht="17.25" customHeight="1" hidden="1">
      <c r="A183" s="161">
        <v>4221</v>
      </c>
      <c r="B183" s="159" t="s">
        <v>86</v>
      </c>
      <c r="C183" s="160">
        <f>+SUM(D183:J183)</f>
        <v>345738</v>
      </c>
      <c r="D183" s="160">
        <v>345738</v>
      </c>
      <c r="E183" s="160"/>
      <c r="F183" s="160"/>
      <c r="G183" s="80"/>
      <c r="H183" s="160"/>
      <c r="I183" s="160"/>
      <c r="J183" s="160"/>
      <c r="K183" s="160"/>
      <c r="L183" s="160"/>
    </row>
    <row r="184" spans="1:12" ht="18" customHeight="1" hidden="1">
      <c r="A184" s="161">
        <v>4223</v>
      </c>
      <c r="B184" s="159" t="s">
        <v>100</v>
      </c>
      <c r="C184" s="160">
        <f>+SUM(D184:J184)</f>
        <v>0</v>
      </c>
      <c r="D184" s="160">
        <v>0</v>
      </c>
      <c r="E184" s="160"/>
      <c r="F184" s="160"/>
      <c r="G184" s="80"/>
      <c r="H184" s="160"/>
      <c r="I184" s="160"/>
      <c r="J184" s="160"/>
      <c r="K184" s="160"/>
      <c r="L184" s="160"/>
    </row>
    <row r="185" spans="1:12" ht="18.75" customHeight="1" hidden="1">
      <c r="A185" s="161">
        <v>4224</v>
      </c>
      <c r="B185" s="159" t="s">
        <v>87</v>
      </c>
      <c r="C185" s="160">
        <f>+SUM(D185:J185)</f>
        <v>1501500</v>
      </c>
      <c r="D185" s="160">
        <v>1501500</v>
      </c>
      <c r="E185" s="160"/>
      <c r="F185" s="160"/>
      <c r="G185" s="80"/>
      <c r="H185" s="160"/>
      <c r="I185" s="160"/>
      <c r="J185" s="160"/>
      <c r="K185" s="160"/>
      <c r="L185" s="160"/>
    </row>
    <row r="186" spans="1:12" ht="27" customHeight="1" hidden="1">
      <c r="A186" s="161">
        <v>4227</v>
      </c>
      <c r="B186" s="159" t="s">
        <v>101</v>
      </c>
      <c r="C186" s="160">
        <f>+SUM(D186:J186)</f>
        <v>162000</v>
      </c>
      <c r="D186" s="160">
        <v>162000</v>
      </c>
      <c r="E186" s="160"/>
      <c r="F186" s="160"/>
      <c r="G186" s="80"/>
      <c r="H186" s="160"/>
      <c r="I186" s="160"/>
      <c r="J186" s="160"/>
      <c r="K186" s="160"/>
      <c r="L186" s="160"/>
    </row>
    <row r="187" spans="1:29" s="155" customFormat="1" ht="17.25" customHeight="1">
      <c r="A187" s="164">
        <v>426</v>
      </c>
      <c r="B187" s="153" t="s">
        <v>128</v>
      </c>
      <c r="C187" s="154">
        <f>C188</f>
        <v>0</v>
      </c>
      <c r="D187" s="154">
        <f aca="true" t="shared" si="69" ref="D187:J187">D188</f>
        <v>0</v>
      </c>
      <c r="E187" s="154">
        <f t="shared" si="69"/>
        <v>0</v>
      </c>
      <c r="F187" s="154">
        <f t="shared" si="69"/>
        <v>0</v>
      </c>
      <c r="G187" s="74">
        <f t="shared" si="69"/>
        <v>0</v>
      </c>
      <c r="H187" s="154">
        <f t="shared" si="69"/>
        <v>0</v>
      </c>
      <c r="I187" s="154">
        <f t="shared" si="69"/>
        <v>0</v>
      </c>
      <c r="J187" s="154">
        <f t="shared" si="69"/>
        <v>0</v>
      </c>
      <c r="K187" s="154"/>
      <c r="L187" s="154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</row>
    <row r="188" spans="1:12" ht="17.25" customHeight="1" hidden="1">
      <c r="A188" s="161">
        <v>4262</v>
      </c>
      <c r="B188" s="159" t="s">
        <v>129</v>
      </c>
      <c r="C188" s="160">
        <f>+SUM(D188:J188)</f>
        <v>0</v>
      </c>
      <c r="D188" s="160">
        <v>0</v>
      </c>
      <c r="E188" s="160"/>
      <c r="F188" s="160"/>
      <c r="G188" s="80"/>
      <c r="H188" s="160"/>
      <c r="I188" s="160"/>
      <c r="J188" s="160"/>
      <c r="K188" s="160"/>
      <c r="L188" s="160"/>
    </row>
    <row r="189" spans="1:29" s="155" customFormat="1" ht="31.5" customHeight="1">
      <c r="A189" s="164">
        <v>45</v>
      </c>
      <c r="B189" s="153" t="s">
        <v>88</v>
      </c>
      <c r="C189" s="154">
        <f>C190+C192</f>
        <v>0</v>
      </c>
      <c r="D189" s="154">
        <f aca="true" t="shared" si="70" ref="D189:J189">D190+D192</f>
        <v>0</v>
      </c>
      <c r="E189" s="154">
        <f t="shared" si="70"/>
        <v>0</v>
      </c>
      <c r="F189" s="154">
        <f t="shared" si="70"/>
        <v>0</v>
      </c>
      <c r="G189" s="74">
        <f t="shared" si="70"/>
        <v>0</v>
      </c>
      <c r="H189" s="154">
        <f t="shared" si="70"/>
        <v>0</v>
      </c>
      <c r="I189" s="154">
        <f t="shared" si="70"/>
        <v>0</v>
      </c>
      <c r="J189" s="154">
        <f t="shared" si="70"/>
        <v>0</v>
      </c>
      <c r="K189" s="74">
        <v>0</v>
      </c>
      <c r="L189" s="74">
        <v>0</v>
      </c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</row>
    <row r="190" spans="1:29" s="155" customFormat="1" ht="25.5">
      <c r="A190" s="164">
        <v>451</v>
      </c>
      <c r="B190" s="153" t="s">
        <v>89</v>
      </c>
      <c r="C190" s="154">
        <f>C191</f>
        <v>0</v>
      </c>
      <c r="D190" s="154">
        <f aca="true" t="shared" si="71" ref="D190:J190">D191</f>
        <v>0</v>
      </c>
      <c r="E190" s="154">
        <f t="shared" si="71"/>
        <v>0</v>
      </c>
      <c r="F190" s="154">
        <f t="shared" si="71"/>
        <v>0</v>
      </c>
      <c r="G190" s="74">
        <f t="shared" si="71"/>
        <v>0</v>
      </c>
      <c r="H190" s="154">
        <f t="shared" si="71"/>
        <v>0</v>
      </c>
      <c r="I190" s="154">
        <f t="shared" si="71"/>
        <v>0</v>
      </c>
      <c r="J190" s="154">
        <f t="shared" si="71"/>
        <v>0</v>
      </c>
      <c r="K190" s="154"/>
      <c r="L190" s="154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</row>
    <row r="191" spans="1:12" ht="0.75" customHeight="1">
      <c r="A191" s="161">
        <v>4511</v>
      </c>
      <c r="B191" s="159" t="s">
        <v>89</v>
      </c>
      <c r="C191" s="160">
        <f>+SUM(D191:J191)</f>
        <v>0</v>
      </c>
      <c r="D191" s="28">
        <v>0</v>
      </c>
      <c r="E191" s="28"/>
      <c r="F191" s="160"/>
      <c r="G191" s="90"/>
      <c r="H191" s="28"/>
      <c r="I191" s="28"/>
      <c r="J191" s="28"/>
      <c r="K191" s="160"/>
      <c r="L191" s="160"/>
    </row>
    <row r="192" spans="1:29" s="155" customFormat="1" ht="27.75" customHeight="1">
      <c r="A192" s="164">
        <v>452</v>
      </c>
      <c r="B192" s="153" t="s">
        <v>130</v>
      </c>
      <c r="C192" s="154">
        <f>C193</f>
        <v>0</v>
      </c>
      <c r="D192" s="154">
        <f aca="true" t="shared" si="72" ref="D192:J192">D193</f>
        <v>0</v>
      </c>
      <c r="E192" s="154">
        <f t="shared" si="72"/>
        <v>0</v>
      </c>
      <c r="F192" s="154">
        <f t="shared" si="72"/>
        <v>0</v>
      </c>
      <c r="G192" s="74">
        <f t="shared" si="72"/>
        <v>0</v>
      </c>
      <c r="H192" s="154">
        <f t="shared" si="72"/>
        <v>0</v>
      </c>
      <c r="I192" s="154">
        <f t="shared" si="72"/>
        <v>0</v>
      </c>
      <c r="J192" s="154">
        <f t="shared" si="72"/>
        <v>0</v>
      </c>
      <c r="K192" s="154"/>
      <c r="L192" s="154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</row>
    <row r="193" spans="1:12" ht="27.75" customHeight="1" hidden="1">
      <c r="A193" s="161">
        <v>4522</v>
      </c>
      <c r="B193" s="159" t="s">
        <v>130</v>
      </c>
      <c r="C193" s="160">
        <f>+SUM(D193:J193)</f>
        <v>0</v>
      </c>
      <c r="D193" s="28"/>
      <c r="E193" s="28"/>
      <c r="F193" s="160"/>
      <c r="G193" s="90"/>
      <c r="H193" s="28"/>
      <c r="I193" s="28"/>
      <c r="J193" s="28"/>
      <c r="K193" s="160"/>
      <c r="L193" s="160"/>
    </row>
    <row r="194" spans="1:29" s="155" customFormat="1" ht="25.5">
      <c r="A194" s="164">
        <v>5</v>
      </c>
      <c r="B194" s="153" t="s">
        <v>5</v>
      </c>
      <c r="C194" s="154">
        <f>C195</f>
        <v>4456437</v>
      </c>
      <c r="D194" s="154">
        <f>SUM(D195)</f>
        <v>4456437</v>
      </c>
      <c r="E194" s="154">
        <f aca="true" t="shared" si="73" ref="E194:J194">SUM(E195)</f>
        <v>0</v>
      </c>
      <c r="F194" s="154">
        <f t="shared" si="73"/>
        <v>0</v>
      </c>
      <c r="G194" s="74">
        <f t="shared" si="73"/>
        <v>0</v>
      </c>
      <c r="H194" s="154">
        <f t="shared" si="73"/>
        <v>0</v>
      </c>
      <c r="I194" s="154">
        <f t="shared" si="73"/>
        <v>0</v>
      </c>
      <c r="J194" s="154">
        <f t="shared" si="73"/>
        <v>0</v>
      </c>
      <c r="K194" s="74">
        <f>K195</f>
        <v>4456437</v>
      </c>
      <c r="L194" s="74">
        <f>L195</f>
        <v>4456437</v>
      </c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</row>
    <row r="195" spans="1:29" s="155" customFormat="1" ht="25.5">
      <c r="A195" s="164">
        <v>54</v>
      </c>
      <c r="B195" s="153" t="s">
        <v>90</v>
      </c>
      <c r="C195" s="154">
        <f>C196</f>
        <v>4456437</v>
      </c>
      <c r="D195" s="234">
        <f>D196</f>
        <v>4456437</v>
      </c>
      <c r="E195" s="234">
        <f aca="true" t="shared" si="74" ref="E195:J195">E196</f>
        <v>0</v>
      </c>
      <c r="F195" s="234">
        <f t="shared" si="74"/>
        <v>0</v>
      </c>
      <c r="G195" s="91">
        <f t="shared" si="74"/>
        <v>0</v>
      </c>
      <c r="H195" s="234">
        <f t="shared" si="74"/>
        <v>0</v>
      </c>
      <c r="I195" s="234">
        <f t="shared" si="74"/>
        <v>0</v>
      </c>
      <c r="J195" s="234">
        <f t="shared" si="74"/>
        <v>0</v>
      </c>
      <c r="K195" s="91">
        <v>4456437</v>
      </c>
      <c r="L195" s="91">
        <v>4456437</v>
      </c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</row>
    <row r="196" spans="1:29" s="155" customFormat="1" ht="52.5" customHeight="1">
      <c r="A196" s="164">
        <v>544</v>
      </c>
      <c r="B196" s="153" t="s">
        <v>91</v>
      </c>
      <c r="C196" s="154">
        <f>C197</f>
        <v>4456437</v>
      </c>
      <c r="D196" s="234">
        <f>D197</f>
        <v>4456437</v>
      </c>
      <c r="E196" s="234"/>
      <c r="F196" s="154"/>
      <c r="G196" s="91"/>
      <c r="H196" s="234"/>
      <c r="I196" s="234"/>
      <c r="J196" s="234"/>
      <c r="K196" s="154"/>
      <c r="L196" s="154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</row>
    <row r="197" spans="1:12" ht="1.5" customHeight="1">
      <c r="A197" s="161">
        <v>5443</v>
      </c>
      <c r="B197" s="159" t="s">
        <v>92</v>
      </c>
      <c r="C197" s="160">
        <f>+SUM(D197:J197)</f>
        <v>4456437</v>
      </c>
      <c r="D197" s="28">
        <v>4456437</v>
      </c>
      <c r="E197" s="28"/>
      <c r="F197" s="160"/>
      <c r="G197" s="90"/>
      <c r="H197" s="28"/>
      <c r="I197" s="28"/>
      <c r="J197" s="28"/>
      <c r="K197" s="160"/>
      <c r="L197" s="160"/>
    </row>
    <row r="198" spans="1:29" s="187" customFormat="1" ht="32.25" customHeight="1">
      <c r="A198" s="338" t="s">
        <v>77</v>
      </c>
      <c r="B198" s="339"/>
      <c r="C198" s="199">
        <f>SUM(D198:J198)</f>
        <v>6465675</v>
      </c>
      <c r="D198" s="199">
        <f>D180+D194</f>
        <v>6465675</v>
      </c>
      <c r="E198" s="199">
        <f aca="true" t="shared" si="75" ref="E198:J198">E180+E194</f>
        <v>0</v>
      </c>
      <c r="F198" s="199">
        <f t="shared" si="75"/>
        <v>0</v>
      </c>
      <c r="G198" s="82">
        <f t="shared" si="75"/>
        <v>0</v>
      </c>
      <c r="H198" s="199">
        <f t="shared" si="75"/>
        <v>0</v>
      </c>
      <c r="I198" s="199">
        <f t="shared" si="75"/>
        <v>0</v>
      </c>
      <c r="J198" s="199">
        <f t="shared" si="75"/>
        <v>0</v>
      </c>
      <c r="K198" s="199">
        <f>K194+K180</f>
        <v>4756437</v>
      </c>
      <c r="L198" s="199">
        <f>L194+L180</f>
        <v>4756437</v>
      </c>
      <c r="M198" s="199" t="e">
        <f>#REF!+M178</f>
        <v>#REF!</v>
      </c>
      <c r="N198" s="199" t="e">
        <f>#REF!+N178</f>
        <v>#REF!</v>
      </c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</row>
    <row r="199" spans="1:12" ht="21" customHeight="1">
      <c r="A199" s="235"/>
      <c r="B199" s="236" t="s">
        <v>170</v>
      </c>
      <c r="C199" s="237">
        <f>C176+C198</f>
        <v>9394103</v>
      </c>
      <c r="D199" s="237">
        <f>D176+D198</f>
        <v>9394103</v>
      </c>
      <c r="E199" s="237">
        <f aca="true" t="shared" si="76" ref="E199:J199">E176+E198</f>
        <v>0</v>
      </c>
      <c r="F199" s="237">
        <f t="shared" si="76"/>
        <v>0</v>
      </c>
      <c r="G199" s="237">
        <f t="shared" si="76"/>
        <v>0</v>
      </c>
      <c r="H199" s="237">
        <f t="shared" si="76"/>
        <v>0</v>
      </c>
      <c r="I199" s="237">
        <f t="shared" si="76"/>
        <v>0</v>
      </c>
      <c r="J199" s="237">
        <f t="shared" si="76"/>
        <v>0</v>
      </c>
      <c r="K199" s="237">
        <f>K176+K198</f>
        <v>9394103</v>
      </c>
      <c r="L199" s="237">
        <f>L176+L198</f>
        <v>9394103</v>
      </c>
    </row>
    <row r="200" spans="1:12" ht="21" customHeight="1">
      <c r="A200" s="235"/>
      <c r="B200" s="236"/>
      <c r="C200" s="237"/>
      <c r="D200" s="237"/>
      <c r="E200" s="237"/>
      <c r="F200" s="237"/>
      <c r="G200" s="237"/>
      <c r="H200" s="237"/>
      <c r="I200" s="237"/>
      <c r="J200" s="237"/>
      <c r="K200" s="237">
        <f>D199-K199</f>
        <v>0</v>
      </c>
      <c r="L200" s="237">
        <f>D199-L199</f>
        <v>0</v>
      </c>
    </row>
    <row r="201" spans="1:29" s="155" customFormat="1" ht="21" customHeight="1">
      <c r="A201" s="238" t="s">
        <v>31</v>
      </c>
      <c r="B201" s="238" t="s">
        <v>175</v>
      </c>
      <c r="C201" s="237"/>
      <c r="D201" s="237"/>
      <c r="E201" s="237"/>
      <c r="F201" s="237"/>
      <c r="G201" s="237"/>
      <c r="H201" s="237"/>
      <c r="I201" s="237"/>
      <c r="J201" s="237"/>
      <c r="K201" s="237"/>
      <c r="L201" s="237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</row>
    <row r="202" spans="1:29" s="155" customFormat="1" ht="21" customHeight="1">
      <c r="A202" s="238"/>
      <c r="B202" s="238"/>
      <c r="C202" s="237"/>
      <c r="D202" s="237"/>
      <c r="E202" s="237"/>
      <c r="F202" s="237"/>
      <c r="G202" s="237"/>
      <c r="H202" s="237"/>
      <c r="I202" s="237"/>
      <c r="J202" s="237"/>
      <c r="K202" s="237"/>
      <c r="L202" s="237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</row>
    <row r="203" spans="1:12" ht="25.5">
      <c r="A203" s="164">
        <v>4</v>
      </c>
      <c r="B203" s="153" t="s">
        <v>78</v>
      </c>
      <c r="C203" s="154">
        <f aca="true" t="shared" si="77" ref="C203:L203">C204+C210</f>
        <v>109545365</v>
      </c>
      <c r="D203" s="154">
        <f t="shared" si="77"/>
        <v>0</v>
      </c>
      <c r="E203" s="154">
        <f t="shared" si="77"/>
        <v>0</v>
      </c>
      <c r="F203" s="154">
        <f t="shared" si="77"/>
        <v>0</v>
      </c>
      <c r="G203" s="154">
        <f t="shared" si="77"/>
        <v>107664685</v>
      </c>
      <c r="H203" s="154">
        <f t="shared" si="77"/>
        <v>1880680</v>
      </c>
      <c r="I203" s="154">
        <f t="shared" si="77"/>
        <v>0</v>
      </c>
      <c r="J203" s="154">
        <f t="shared" si="77"/>
        <v>0</v>
      </c>
      <c r="K203" s="154">
        <f t="shared" si="77"/>
        <v>0</v>
      </c>
      <c r="L203" s="154">
        <f t="shared" si="77"/>
        <v>0</v>
      </c>
    </row>
    <row r="204" spans="1:12" ht="30.75" customHeight="1">
      <c r="A204" s="164">
        <v>42</v>
      </c>
      <c r="B204" s="153" t="s">
        <v>79</v>
      </c>
      <c r="C204" s="154">
        <f>C205</f>
        <v>0</v>
      </c>
      <c r="D204" s="154">
        <f aca="true" t="shared" si="78" ref="D204:J204">D205</f>
        <v>0</v>
      </c>
      <c r="E204" s="154">
        <f t="shared" si="78"/>
        <v>0</v>
      </c>
      <c r="F204" s="154">
        <f t="shared" si="78"/>
        <v>0</v>
      </c>
      <c r="G204" s="154">
        <f t="shared" si="78"/>
        <v>0</v>
      </c>
      <c r="H204" s="154">
        <f t="shared" si="78"/>
        <v>0</v>
      </c>
      <c r="I204" s="154">
        <f t="shared" si="78"/>
        <v>0</v>
      </c>
      <c r="J204" s="154">
        <f t="shared" si="78"/>
        <v>0</v>
      </c>
      <c r="K204" s="74">
        <v>0</v>
      </c>
      <c r="L204" s="74">
        <v>0</v>
      </c>
    </row>
    <row r="205" spans="1:29" s="155" customFormat="1" ht="14.25" customHeight="1">
      <c r="A205" s="164">
        <v>422</v>
      </c>
      <c r="B205" s="153" t="s">
        <v>28</v>
      </c>
      <c r="C205" s="154">
        <f>SUM(C206:C209)</f>
        <v>0</v>
      </c>
      <c r="D205" s="154">
        <f>SUM(D206:D209)</f>
        <v>0</v>
      </c>
      <c r="E205" s="154">
        <f aca="true" t="shared" si="79" ref="E205:J205">SUM(E206)</f>
        <v>0</v>
      </c>
      <c r="F205" s="154">
        <f t="shared" si="79"/>
        <v>0</v>
      </c>
      <c r="G205" s="74">
        <f t="shared" si="79"/>
        <v>0</v>
      </c>
      <c r="H205" s="154">
        <f>SUM(H206:H209)</f>
        <v>0</v>
      </c>
      <c r="I205" s="154">
        <f t="shared" si="79"/>
        <v>0</v>
      </c>
      <c r="J205" s="154">
        <f t="shared" si="79"/>
        <v>0</v>
      </c>
      <c r="K205" s="154"/>
      <c r="L205" s="154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</row>
    <row r="206" spans="1:12" ht="17.25" customHeight="1" hidden="1">
      <c r="A206" s="161">
        <v>4221</v>
      </c>
      <c r="B206" s="159" t="s">
        <v>86</v>
      </c>
      <c r="C206" s="160">
        <f>+SUM(D206:J206)</f>
        <v>0</v>
      </c>
      <c r="D206" s="160">
        <v>0</v>
      </c>
      <c r="E206" s="160"/>
      <c r="F206" s="160"/>
      <c r="G206" s="80"/>
      <c r="H206" s="160"/>
      <c r="I206" s="160"/>
      <c r="J206" s="160"/>
      <c r="K206" s="160"/>
      <c r="L206" s="160"/>
    </row>
    <row r="207" spans="1:12" ht="18" customHeight="1" hidden="1">
      <c r="A207" s="161">
        <v>4223</v>
      </c>
      <c r="B207" s="159" t="s">
        <v>100</v>
      </c>
      <c r="C207" s="160">
        <f>+SUM(D207:J207)</f>
        <v>0</v>
      </c>
      <c r="D207" s="160">
        <v>0</v>
      </c>
      <c r="E207" s="160"/>
      <c r="F207" s="160"/>
      <c r="G207" s="80"/>
      <c r="H207" s="160"/>
      <c r="I207" s="160"/>
      <c r="J207" s="160"/>
      <c r="K207" s="160"/>
      <c r="L207" s="160"/>
    </row>
    <row r="208" spans="1:12" ht="18.75" customHeight="1" hidden="1">
      <c r="A208" s="161">
        <v>4224</v>
      </c>
      <c r="B208" s="159" t="s">
        <v>87</v>
      </c>
      <c r="C208" s="160">
        <f>+SUM(D208:J208)</f>
        <v>0</v>
      </c>
      <c r="D208" s="160">
        <v>0</v>
      </c>
      <c r="E208" s="160"/>
      <c r="F208" s="160"/>
      <c r="G208" s="80"/>
      <c r="H208" s="160">
        <v>0</v>
      </c>
      <c r="I208" s="160"/>
      <c r="J208" s="160"/>
      <c r="K208" s="160"/>
      <c r="L208" s="160"/>
    </row>
    <row r="209" spans="1:12" ht="27" customHeight="1" hidden="1">
      <c r="A209" s="161">
        <v>4227</v>
      </c>
      <c r="B209" s="159" t="s">
        <v>101</v>
      </c>
      <c r="C209" s="160">
        <f>+SUM(D209:J209)</f>
        <v>0</v>
      </c>
      <c r="D209" s="160">
        <v>0</v>
      </c>
      <c r="E209" s="160"/>
      <c r="F209" s="160"/>
      <c r="G209" s="80"/>
      <c r="H209" s="160">
        <v>0</v>
      </c>
      <c r="I209" s="160"/>
      <c r="J209" s="160"/>
      <c r="K209" s="160"/>
      <c r="L209" s="160"/>
    </row>
    <row r="210" spans="1:29" s="155" customFormat="1" ht="31.5" customHeight="1">
      <c r="A210" s="164">
        <v>45</v>
      </c>
      <c r="B210" s="153" t="s">
        <v>88</v>
      </c>
      <c r="C210" s="154">
        <f>C211+C214</f>
        <v>109545365</v>
      </c>
      <c r="D210" s="154">
        <f aca="true" t="shared" si="80" ref="D210:J210">D211+D214</f>
        <v>0</v>
      </c>
      <c r="E210" s="154">
        <f t="shared" si="80"/>
        <v>0</v>
      </c>
      <c r="F210" s="154">
        <f t="shared" si="80"/>
        <v>0</v>
      </c>
      <c r="G210" s="74">
        <f t="shared" si="80"/>
        <v>107664685</v>
      </c>
      <c r="H210" s="154">
        <f t="shared" si="80"/>
        <v>1880680</v>
      </c>
      <c r="I210" s="154">
        <f t="shared" si="80"/>
        <v>0</v>
      </c>
      <c r="J210" s="154">
        <f t="shared" si="80"/>
        <v>0</v>
      </c>
      <c r="K210" s="74">
        <v>0</v>
      </c>
      <c r="L210" s="74">
        <v>0</v>
      </c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</row>
    <row r="211" spans="1:29" s="155" customFormat="1" ht="25.5">
      <c r="A211" s="164">
        <v>451</v>
      </c>
      <c r="B211" s="153" t="s">
        <v>89</v>
      </c>
      <c r="C211" s="154">
        <f>C212</f>
        <v>109545365</v>
      </c>
      <c r="D211" s="154">
        <f aca="true" t="shared" si="81" ref="D211:J211">D212</f>
        <v>0</v>
      </c>
      <c r="E211" s="154">
        <f t="shared" si="81"/>
        <v>0</v>
      </c>
      <c r="F211" s="154">
        <f t="shared" si="81"/>
        <v>0</v>
      </c>
      <c r="G211" s="74">
        <f t="shared" si="81"/>
        <v>107664685</v>
      </c>
      <c r="H211" s="154">
        <f t="shared" si="81"/>
        <v>1880680</v>
      </c>
      <c r="I211" s="154">
        <f t="shared" si="81"/>
        <v>0</v>
      </c>
      <c r="J211" s="154">
        <f t="shared" si="81"/>
        <v>0</v>
      </c>
      <c r="K211" s="154"/>
      <c r="L211" s="154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</row>
    <row r="212" spans="1:29" s="240" customFormat="1" ht="27.75" customHeight="1" hidden="1">
      <c r="A212" s="158">
        <v>4511</v>
      </c>
      <c r="B212" s="239" t="s">
        <v>89</v>
      </c>
      <c r="C212" s="160">
        <f>+SUM(D212:J212)</f>
        <v>109545365</v>
      </c>
      <c r="D212" s="28">
        <v>0</v>
      </c>
      <c r="E212" s="28"/>
      <c r="F212" s="160"/>
      <c r="G212" s="90">
        <f>109545365-1880680</f>
        <v>107664685</v>
      </c>
      <c r="H212" s="28">
        <v>1880680</v>
      </c>
      <c r="I212" s="28"/>
      <c r="J212" s="28"/>
      <c r="K212" s="160"/>
      <c r="L212" s="160"/>
      <c r="R212" s="241"/>
      <c r="S212" s="241"/>
      <c r="T212" s="241"/>
      <c r="U212" s="241"/>
      <c r="V212" s="241"/>
      <c r="W212" s="241"/>
      <c r="X212" s="241"/>
      <c r="Y212" s="241"/>
      <c r="Z212" s="241"/>
      <c r="AA212" s="241"/>
      <c r="AB212" s="241"/>
      <c r="AC212" s="241"/>
    </row>
    <row r="213" spans="1:29" s="243" customFormat="1" ht="27.75" customHeight="1">
      <c r="A213" s="340" t="s">
        <v>173</v>
      </c>
      <c r="B213" s="341"/>
      <c r="C213" s="242">
        <f>SUM(D213:J213)</f>
        <v>109545365</v>
      </c>
      <c r="D213" s="242">
        <f>D203</f>
        <v>0</v>
      </c>
      <c r="E213" s="242">
        <f aca="true" t="shared" si="82" ref="E213:L213">E203</f>
        <v>0</v>
      </c>
      <c r="F213" s="242">
        <f t="shared" si="82"/>
        <v>0</v>
      </c>
      <c r="G213" s="242">
        <f t="shared" si="82"/>
        <v>107664685</v>
      </c>
      <c r="H213" s="242">
        <f t="shared" si="82"/>
        <v>1880680</v>
      </c>
      <c r="I213" s="242">
        <f t="shared" si="82"/>
        <v>0</v>
      </c>
      <c r="J213" s="242">
        <f t="shared" si="82"/>
        <v>0</v>
      </c>
      <c r="K213" s="242">
        <f t="shared" si="82"/>
        <v>0</v>
      </c>
      <c r="L213" s="242">
        <f t="shared" si="82"/>
        <v>0</v>
      </c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</row>
    <row r="214" spans="1:12" ht="21" customHeight="1">
      <c r="A214" s="235"/>
      <c r="B214" s="236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</row>
    <row r="215" spans="1:29" s="248" customFormat="1" ht="21" customHeight="1">
      <c r="A215" s="245"/>
      <c r="B215" s="246" t="s">
        <v>93</v>
      </c>
      <c r="C215" s="247">
        <f>SUM(D215:J215)</f>
        <v>482628975</v>
      </c>
      <c r="D215" s="247">
        <f aca="true" t="shared" si="83" ref="D215:L215">D198+D176+D161+D150+D139+D101+D80+D121+D213</f>
        <v>9789103</v>
      </c>
      <c r="E215" s="247">
        <f t="shared" si="83"/>
        <v>3767000</v>
      </c>
      <c r="F215" s="247">
        <f t="shared" si="83"/>
        <v>223813800</v>
      </c>
      <c r="G215" s="247">
        <f t="shared" si="83"/>
        <v>242557918</v>
      </c>
      <c r="H215" s="247">
        <f t="shared" si="83"/>
        <v>2689154</v>
      </c>
      <c r="I215" s="247">
        <f t="shared" si="83"/>
        <v>12000</v>
      </c>
      <c r="J215" s="247">
        <f t="shared" si="83"/>
        <v>0</v>
      </c>
      <c r="K215" s="247">
        <f t="shared" si="83"/>
        <v>368882103</v>
      </c>
      <c r="L215" s="247">
        <f t="shared" si="83"/>
        <v>370847103</v>
      </c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</row>
    <row r="216" spans="1:29" s="155" customFormat="1" ht="21" customHeight="1">
      <c r="A216" s="249"/>
      <c r="B216" s="250"/>
      <c r="D216" s="251"/>
      <c r="E216" s="251"/>
      <c r="F216" s="251"/>
      <c r="G216" s="92"/>
      <c r="H216" s="251"/>
      <c r="I216" s="251"/>
      <c r="J216" s="251"/>
      <c r="K216" s="251"/>
      <c r="L216" s="251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</row>
    <row r="217" spans="1:9" ht="15.75">
      <c r="A217" s="122" t="s">
        <v>194</v>
      </c>
      <c r="C217" s="252"/>
      <c r="D217" s="252"/>
      <c r="G217" s="156"/>
      <c r="I217" s="301" t="s">
        <v>102</v>
      </c>
    </row>
    <row r="218" spans="1:29" s="155" customFormat="1" ht="21" customHeight="1">
      <c r="A218" s="249"/>
      <c r="B218" s="250"/>
      <c r="D218" s="253"/>
      <c r="E218" s="251"/>
      <c r="F218" s="156"/>
      <c r="G218" s="251"/>
      <c r="H218" s="251"/>
      <c r="I218" s="302" t="s">
        <v>112</v>
      </c>
      <c r="J218" s="251"/>
      <c r="K218" s="251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</row>
    <row r="219" spans="1:29" s="155" customFormat="1" ht="21" customHeight="1">
      <c r="A219" s="249"/>
      <c r="B219" s="250"/>
      <c r="C219" s="254"/>
      <c r="D219" s="253"/>
      <c r="E219" s="251"/>
      <c r="F219" s="251"/>
      <c r="G219" s="251"/>
      <c r="H219" s="251"/>
      <c r="I219" s="255"/>
      <c r="J219" s="251"/>
      <c r="K219" s="251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</row>
    <row r="220" spans="1:29" s="155" customFormat="1" ht="21" customHeight="1">
      <c r="A220" s="249"/>
      <c r="B220" s="250"/>
      <c r="C220" s="256"/>
      <c r="D220" s="253"/>
      <c r="E220" s="251"/>
      <c r="F220" s="251"/>
      <c r="G220" s="251"/>
      <c r="H220" s="251"/>
      <c r="I220" s="255"/>
      <c r="J220" s="251"/>
      <c r="K220" s="251"/>
      <c r="L220" s="251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</row>
    <row r="221" spans="1:12" ht="15.75">
      <c r="A221" s="235"/>
      <c r="B221" s="257"/>
      <c r="C221" s="252"/>
      <c r="D221" s="258"/>
      <c r="E221" s="258"/>
      <c r="F221" s="259"/>
      <c r="G221" s="93"/>
      <c r="H221" s="258"/>
      <c r="I221" s="258"/>
      <c r="J221" s="258"/>
      <c r="K221" s="259"/>
      <c r="L221" s="259"/>
    </row>
    <row r="222" spans="1:29" s="266" customFormat="1" ht="18.75">
      <c r="A222" s="260"/>
      <c r="B222" s="261"/>
      <c r="C222" s="254"/>
      <c r="D222" s="262"/>
      <c r="E222" s="263"/>
      <c r="F222" s="156"/>
      <c r="G222" s="95"/>
      <c r="H222" s="264"/>
      <c r="I222" s="265"/>
      <c r="J222" s="263"/>
      <c r="K222" s="263"/>
      <c r="L222" s="263"/>
      <c r="M222" s="263"/>
      <c r="N222" s="263"/>
      <c r="O222" s="263"/>
      <c r="P222" s="263"/>
      <c r="Q222" s="263"/>
      <c r="R222" s="38"/>
      <c r="S222" s="38"/>
      <c r="T222" s="38"/>
      <c r="U222" s="39"/>
      <c r="V222" s="39"/>
      <c r="W222" s="39"/>
      <c r="X222" s="39"/>
      <c r="Y222" s="39"/>
      <c r="Z222" s="39"/>
      <c r="AA222" s="39"/>
      <c r="AB222" s="39"/>
      <c r="AC222" s="39"/>
    </row>
    <row r="223" spans="1:29" s="266" customFormat="1" ht="18">
      <c r="A223" s="267"/>
      <c r="B223" s="261"/>
      <c r="C223" s="262"/>
      <c r="D223" s="262"/>
      <c r="E223" s="263"/>
      <c r="F223" s="156"/>
      <c r="G223" s="95"/>
      <c r="H223" s="264"/>
      <c r="I223" s="268"/>
      <c r="J223" s="263"/>
      <c r="K223" s="263"/>
      <c r="L223" s="263"/>
      <c r="M223" s="263"/>
      <c r="N223" s="263"/>
      <c r="O223" s="263"/>
      <c r="P223" s="263"/>
      <c r="Q223" s="263"/>
      <c r="R223" s="38"/>
      <c r="S223" s="38"/>
      <c r="T223" s="38"/>
      <c r="U223" s="39"/>
      <c r="V223" s="39"/>
      <c r="W223" s="39"/>
      <c r="X223" s="39"/>
      <c r="Y223" s="39"/>
      <c r="Z223" s="39"/>
      <c r="AA223" s="39"/>
      <c r="AB223" s="39"/>
      <c r="AC223" s="39"/>
    </row>
    <row r="224" spans="3:9" ht="18.75">
      <c r="C224" s="252"/>
      <c r="D224" s="269"/>
      <c r="I224" s="270"/>
    </row>
    <row r="225" spans="3:4" ht="15.75">
      <c r="C225" s="252"/>
      <c r="D225" s="269"/>
    </row>
    <row r="226" spans="3:4" ht="15.75">
      <c r="C226" s="252"/>
      <c r="D226" s="269"/>
    </row>
    <row r="227" spans="3:4" ht="15.75">
      <c r="C227" s="252"/>
      <c r="D227" s="269"/>
    </row>
    <row r="228" spans="3:4" ht="15.75">
      <c r="C228" s="252"/>
      <c r="D228" s="269"/>
    </row>
    <row r="229" spans="3:4" ht="15.75">
      <c r="C229" s="252"/>
      <c r="D229" s="269"/>
    </row>
    <row r="230" spans="3:4" ht="15.75">
      <c r="C230" s="252"/>
      <c r="D230" s="269"/>
    </row>
    <row r="231" spans="3:4" ht="15.75">
      <c r="C231" s="252"/>
      <c r="D231" s="269"/>
    </row>
    <row r="232" spans="3:4" ht="15.75">
      <c r="C232" s="252"/>
      <c r="D232" s="269"/>
    </row>
    <row r="233" spans="3:4" ht="15.75">
      <c r="C233" s="252"/>
      <c r="D233" s="252"/>
    </row>
    <row r="234" spans="3:4" ht="15.75">
      <c r="C234" s="252"/>
      <c r="D234" s="252"/>
    </row>
    <row r="235" spans="3:4" ht="15.75">
      <c r="C235" s="252"/>
      <c r="D235" s="252"/>
    </row>
    <row r="236" spans="3:4" ht="15.75">
      <c r="C236" s="252"/>
      <c r="D236" s="252"/>
    </row>
    <row r="237" spans="3:4" ht="15.75">
      <c r="C237" s="252"/>
      <c r="D237" s="252"/>
    </row>
    <row r="238" spans="3:4" ht="15.75">
      <c r="C238" s="252"/>
      <c r="D238" s="252"/>
    </row>
    <row r="239" spans="3:4" ht="15.75">
      <c r="C239" s="252"/>
      <c r="D239" s="252"/>
    </row>
    <row r="240" spans="3:4" ht="15.75">
      <c r="C240" s="252"/>
      <c r="D240" s="252"/>
    </row>
    <row r="241" spans="3:4" ht="15.75">
      <c r="C241" s="252"/>
      <c r="D241" s="252"/>
    </row>
    <row r="242" spans="3:4" ht="15.75">
      <c r="C242" s="252"/>
      <c r="D242" s="252"/>
    </row>
    <row r="243" spans="3:4" ht="15.75">
      <c r="C243" s="252"/>
      <c r="D243" s="252"/>
    </row>
    <row r="244" spans="3:4" ht="15.75">
      <c r="C244" s="252"/>
      <c r="D244" s="252"/>
    </row>
  </sheetData>
  <sheetProtection/>
  <mergeCells count="20">
    <mergeCell ref="A176:B176"/>
    <mergeCell ref="K179:L179"/>
    <mergeCell ref="A198:B198"/>
    <mergeCell ref="A213:B213"/>
    <mergeCell ref="B103:J103"/>
    <mergeCell ref="K103:L103"/>
    <mergeCell ref="A121:B121"/>
    <mergeCell ref="K142:L142"/>
    <mergeCell ref="A161:B161"/>
    <mergeCell ref="K165:L165"/>
    <mergeCell ref="A150:B150"/>
    <mergeCell ref="K153:L153"/>
    <mergeCell ref="K126:L126"/>
    <mergeCell ref="A139:B139"/>
    <mergeCell ref="K7:L7"/>
    <mergeCell ref="A1:L1"/>
    <mergeCell ref="A80:B80"/>
    <mergeCell ref="A101:B101"/>
    <mergeCell ref="B84:J84"/>
    <mergeCell ref="K84:L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4" manualBreakCount="4">
    <brk id="83" max="11" man="1"/>
    <brk id="123" max="11" man="1"/>
    <brk id="199" max="11" man="1"/>
    <brk id="219" max="11" man="1"/>
  </rowBreaks>
  <colBreaks count="1" manualBreakCount="1">
    <brk id="12" max="2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Damir</cp:lastModifiedBy>
  <cp:lastPrinted>2021-12-24T05:45:52Z</cp:lastPrinted>
  <dcterms:created xsi:type="dcterms:W3CDTF">2013-09-11T11:00:21Z</dcterms:created>
  <dcterms:modified xsi:type="dcterms:W3CDTF">2022-01-10T13:21:23Z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