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20" windowWidth="24780" windowHeight="1234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PRIHODA'!$A$1:$J$43</definedName>
    <definedName name="_xlnm.Print_Area" localSheetId="2">'PLAN RASHODA I IZDATAKA'!$A$1:$N$180</definedName>
    <definedName name="_xlnm.Print_Titles" localSheetId="1">'PLAN PRIHODA'!$1:$1</definedName>
  </definedNames>
  <calcPr fullCalcOnLoad="1"/>
</workbook>
</file>

<file path=xl/sharedStrings.xml><?xml version="1.0" encoding="utf-8"?>
<sst xmlns="http://schemas.openxmlformats.org/spreadsheetml/2006/main" count="246" uniqueCount="156">
  <si>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</si>
  <si>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</si>
  <si>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</si>
  <si>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</si>
  <si>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</si>
  <si>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</si>
  <si>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</si>
  <si>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</si>
  <si>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</si>
  <si>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</si>
  <si>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</si>
  <si>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</si>
  <si>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</si>
  <si>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</si>
  <si>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</si>
  <si>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</si>
  <si>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</si>
  <si>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</si>
  <si>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</si>
  <si>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</si>
  <si>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</si>
  <si>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</si>
  <si>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</si>
  <si>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</si>
  <si>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</si>
  <si>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</si>
  <si>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</si>
  <si>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</si>
  <si>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</si>
  <si>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</si>
  <si>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</si>
  <si>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</si>
  <si>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</si>
  <si>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</si>
  <si>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</si>
  <si>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</si>
  <si>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</si>
  <si>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</si>
  <si>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</si>
  <si>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</si>
  <si>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</si>
  <si>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</si>
  <si>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Opći prihodi i primici - županijski proračun</t>
  </si>
  <si>
    <t>Opći prihodi i primici - ostalo</t>
  </si>
  <si>
    <t>Prihodi za posebne namjene -HZZO</t>
  </si>
  <si>
    <t>Prihodi za posebne namjene -ostalo</t>
  </si>
  <si>
    <t>OPĆA BOLNICA "DR. IVO PEDIŠIĆ" SISAK</t>
  </si>
  <si>
    <t>Opći prihodi i primici - Županijski proračun</t>
  </si>
  <si>
    <t>Opći prihodi i primici -          ostalo</t>
  </si>
  <si>
    <t>Prihodi za posebne namjene - HZZO</t>
  </si>
  <si>
    <t>Prihodi za posebne namjene - ostalo</t>
  </si>
  <si>
    <t xml:space="preserve">RASH. UKUP </t>
  </si>
  <si>
    <t>OSTALI</t>
  </si>
  <si>
    <t>OST= RASH- OSTALI- RED.DJ.</t>
  </si>
  <si>
    <t>Program zdravstvene zaštite bolesnika oboljelih od akutnih bolesti</t>
  </si>
  <si>
    <t>Aktivnost: REDOVNA DJELATNOST BOLNICE</t>
  </si>
  <si>
    <t xml:space="preserve">RASHODI POSLOVANJA </t>
  </si>
  <si>
    <t>Plaće (bruto)</t>
  </si>
  <si>
    <t>Plaće</t>
  </si>
  <si>
    <t xml:space="preserve">Ostali rashodi za zaposlene </t>
  </si>
  <si>
    <t>Doprinosi za obvezno zdravstveno osiguranje</t>
  </si>
  <si>
    <t>Doprinosi za obvezno osiguranje u slučaju nezaposlenosti</t>
  </si>
  <si>
    <t>Službena putovanja</t>
  </si>
  <si>
    <t>Naknade za prijevoz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</si>
  <si>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</si>
  <si>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</si>
  <si>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</si>
  <si>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</si>
  <si>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</si>
  <si>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</si>
  <si>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</si>
  <si>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</si>
  <si>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</si>
  <si>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</si>
  <si>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 xml:space="preserve">Komunalne usluge </t>
  </si>
  <si>
    <t>Zakupnine i najamnine</t>
  </si>
  <si>
    <t>Zdravstvene i veterinarske usluge</t>
  </si>
  <si>
    <t>Intelektualne i osobne usluge</t>
  </si>
  <si>
    <t xml:space="preserve">Računalne usluge </t>
  </si>
  <si>
    <t>Ostale usluge</t>
  </si>
  <si>
    <t>Naknade troškova osobama izvan radnog odnosa</t>
  </si>
  <si>
    <t>Naknade za rad predstavničkih i izvršnih tijela, povjerenstava i sl.</t>
  </si>
  <si>
    <t>Premije osiguranja</t>
  </si>
  <si>
    <t>Članarine</t>
  </si>
  <si>
    <t>Pristojbe i naknade</t>
  </si>
  <si>
    <t>Financijski rashodi</t>
  </si>
  <si>
    <t>Bankarske usluge i usluge platnog prometa</t>
  </si>
  <si>
    <t>Ostali rashodi</t>
  </si>
  <si>
    <t>Kazne, penali i naknade štete</t>
  </si>
  <si>
    <t>Naknade šteta pravnim i fizičkim osobama</t>
  </si>
  <si>
    <t xml:space="preserve">UKUPNO </t>
  </si>
  <si>
    <t>IZVOR UKUPNO</t>
  </si>
  <si>
    <t>OSTATAK=IZVOR-OSTALI-RED.DJ</t>
  </si>
  <si>
    <t>RASHODI ZA NABAVU NEFINANCIJSKE IMOVINE</t>
  </si>
  <si>
    <t>Rashodi za nabavu proizvedene dugotrajne imovine</t>
  </si>
  <si>
    <t>Građevinski objekti</t>
  </si>
  <si>
    <t>Program javnih potreba u zdravstvu</t>
  </si>
  <si>
    <t>Aktivnost: POVEĆANI ZDRAVSTVENI STANDARD</t>
  </si>
  <si>
    <t>Aktivnost: FINANCIRANJE PROGRAMA INTERVENCIJSKOG ZBRINJAVANJA INFARKTA MIOKARDA</t>
  </si>
  <si>
    <t>Aktivnost: PROGRAM LOGOPEDSKOG TRETMANA DJECE</t>
  </si>
  <si>
    <t>Aktivnost: FINANCIRANJE ODRŽAVANJA ZDRAVSTVENIH USTANOVA</t>
  </si>
  <si>
    <t>Projekt: FINANCIRANJE ULAGANJA U ZDRAVSTVENE USTANOVE</t>
  </si>
  <si>
    <t>Uredska oprema i namještaj</t>
  </si>
  <si>
    <t>Medicinska i laboratorijska oprema</t>
  </si>
  <si>
    <t>Rashodi za dodatna ulaganjana nefinancijskoj imovini</t>
  </si>
  <si>
    <t>Dodatna ulaganja na građevinskim objektima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</si>
  <si>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</si>
  <si>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</si>
  <si>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</si>
  <si>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SVEUKUPNO</t>
  </si>
  <si>
    <t>Višak/manjak prihoda</t>
  </si>
  <si>
    <t>Manjak prihoda</t>
  </si>
  <si>
    <t>Minimalni financijski standard - zdravstvo</t>
  </si>
  <si>
    <t xml:space="preserve">Kamate na primljene kredite i zajmove </t>
  </si>
  <si>
    <t>Kamate na primljene kredite i zajmove od kreditnih i ostalih fin.inst izvan javnog sektora</t>
  </si>
  <si>
    <t>Negativne tečajne razlike i razlike zbog primjene valutne klauzule</t>
  </si>
  <si>
    <t>Oprema za održavanje i zaštitu</t>
  </si>
  <si>
    <t xml:space="preserve">Uređaji, strojevi i oprema za ostale namjene </t>
  </si>
  <si>
    <t>Ravnatelj</t>
  </si>
  <si>
    <t>636 Pomoći iz pror.nenadlež.</t>
  </si>
  <si>
    <t>642 Prih od nefinanc.imovine</t>
  </si>
  <si>
    <t xml:space="preserve">641 Prih.od kamata po viđenju </t>
  </si>
  <si>
    <t>652 Prih po poseb.propisima</t>
  </si>
  <si>
    <t>661 Prih.od prodaje proizv i usl</t>
  </si>
  <si>
    <t>663 Prih od donacija</t>
  </si>
  <si>
    <t>673 Prih od HZZO po ugov.obv</t>
  </si>
  <si>
    <t>711 Prih.od prod.mat imovine</t>
  </si>
  <si>
    <t>Poslovni objekti - objedinjeni hitni bolnički prijem</t>
  </si>
  <si>
    <t>Poslovni objekti - dnevne bolnice</t>
  </si>
  <si>
    <t>mr.sc.Tomislav Dujmenović, dr.med.</t>
  </si>
  <si>
    <t>638 Pomoći temeljem prijenosa  EU sredstava</t>
  </si>
  <si>
    <t>Projekt: Rekonstrukcija bolničkog kompleksa i uspostava objedinjenog hitnog bolničkog prijema u Općoj bolnici "Dr. Ivo Pedišić" Sisak kroz infrastrukturna ulaganja i opremanje</t>
  </si>
  <si>
    <t>Projekt: Rekonstrukcija bolničkog kompleksa i uspostava dnevne bolnice u Općoj bolnici "Dr. Ivo Pedišić" Sisak kroz infrastrukturna ulaganja i opremanje</t>
  </si>
  <si>
    <t>Središnji paviljon - ukupno</t>
  </si>
  <si>
    <t>671 Prih iz nadlež.proračuna</t>
  </si>
  <si>
    <t>konto</t>
  </si>
  <si>
    <t>641, 642, 683</t>
  </si>
  <si>
    <t>636, 638</t>
  </si>
  <si>
    <t>681 Prih.od kazni i uprav.mjera</t>
  </si>
  <si>
    <t>683 Ostali prihodi</t>
  </si>
  <si>
    <t>Zatezne kamate</t>
  </si>
  <si>
    <t>Rashodi za nabavu nefinancijske imovine</t>
  </si>
  <si>
    <t>Rashodi za dodatna ulaganja na nefinancijskoj imovini</t>
  </si>
  <si>
    <t>Rezultat poslovanja</t>
  </si>
  <si>
    <t xml:space="preserve">Rash.za nab.proizvedene dugotrajne imovine </t>
  </si>
  <si>
    <t>PRIJEDLOG FINANCIJSKOG PLANA Opće bolnice "Dr.Ivo Pedišić" Sisak  ZA 2018. I                                                                                                                                                PROJEKCIJA PLANA ZA  2019. I 2020. GODINU</t>
  </si>
  <si>
    <t>PLAN RASHODA I IZDATAKA</t>
  </si>
  <si>
    <t>PRIJEDLOG PLANA ZA 2018.</t>
  </si>
  <si>
    <t>PROJEKCIJA PLANA ZA 2020.</t>
  </si>
  <si>
    <t>PLAN PRIHODA I PRIMITAKA</t>
  </si>
  <si>
    <t>2020.</t>
  </si>
  <si>
    <t>Ukupno prihodi i primici za 2020.</t>
  </si>
  <si>
    <t>Prijedlog plana 
za 2018.</t>
  </si>
  <si>
    <t>Projekcija plana
za 2019.</t>
  </si>
  <si>
    <t>Projekcija plana 
za 2020.</t>
  </si>
  <si>
    <t>Sisak, 27.10.2017.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</si>
</sst>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9"/>
      <name val="Arial"/>
      <family val="2"/>
    </font>
    <font>
      <b/>
      <sz val="9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70" fillId="42" borderId="6" applyNumberFormat="0" applyAlignment="0" applyProtection="0"/>
    <xf numFmtId="0" fontId="15" fillId="0" borderId="7" applyNumberFormat="0" applyFill="0" applyAlignment="0" applyProtection="0"/>
    <xf numFmtId="0" fontId="71" fillId="43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5" fillId="44" borderId="0" applyNumberFormat="0" applyBorder="0" applyAlignment="0" applyProtection="0"/>
    <xf numFmtId="0" fontId="0" fillId="4" borderId="11" applyNumberFormat="0" applyFont="0" applyAlignment="0" applyProtection="0"/>
    <xf numFmtId="0" fontId="21" fillId="0" borderId="0">
      <alignment/>
      <protection/>
    </xf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76" fillId="0" borderId="13" applyNumberFormat="0" applyFill="0" applyAlignment="0" applyProtection="0"/>
    <xf numFmtId="0" fontId="77" fillId="45" borderId="14" applyNumberFormat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9" fillId="0" borderId="16" applyNumberFormat="0" applyFill="0" applyAlignment="0" applyProtection="0"/>
    <xf numFmtId="0" fontId="80" fillId="46" borderId="6" applyNumberFormat="0" applyAlignment="0" applyProtection="0"/>
    <xf numFmtId="0" fontId="15" fillId="0" borderId="0" applyNumberFormat="0" applyFill="0" applyBorder="0" applyAlignment="0" applyProtection="0"/>
  </cellStyleXfs>
  <cellXfs count="286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2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29" xfId="0" applyFont="1" applyBorder="1" applyAlignment="1" quotePrefix="1">
      <alignment horizontal="left" vertical="center" wrapText="1"/>
    </xf>
    <xf numFmtId="0" fontId="28" fillId="0" borderId="29" xfId="0" applyFont="1" applyBorder="1" applyAlignment="1" quotePrefix="1">
      <alignment horizontal="center" vertical="center" wrapText="1"/>
    </xf>
    <xf numFmtId="0" fontId="25" fillId="0" borderId="2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30" xfId="0" applyFont="1" applyBorder="1" applyAlignment="1" quotePrefix="1">
      <alignment horizontal="left" wrapText="1"/>
    </xf>
    <xf numFmtId="0" fontId="32" fillId="0" borderId="29" xfId="0" applyFont="1" applyBorder="1" applyAlignment="1" quotePrefix="1">
      <alignment horizontal="left" wrapText="1"/>
    </xf>
    <xf numFmtId="0" fontId="32" fillId="0" borderId="29" xfId="0" applyFont="1" applyBorder="1" applyAlignment="1" quotePrefix="1">
      <alignment horizontal="center" wrapText="1"/>
    </xf>
    <xf numFmtId="0" fontId="32" fillId="0" borderId="29" xfId="0" applyNumberFormat="1" applyFont="1" applyFill="1" applyBorder="1" applyAlignment="1" applyProtection="1" quotePrefix="1">
      <alignment horizontal="left"/>
      <protection/>
    </xf>
    <xf numFmtId="0" fontId="25" fillId="0" borderId="31" xfId="0" applyNumberFormat="1" applyFont="1" applyFill="1" applyBorder="1" applyAlignment="1" applyProtection="1">
      <alignment horizont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>
      <alignment horizontal="center" vertical="center" wrapText="1"/>
    </xf>
    <xf numFmtId="0" fontId="21" fillId="0" borderId="29" xfId="0" applyNumberFormat="1" applyFont="1" applyFill="1" applyBorder="1" applyAlignment="1" applyProtection="1">
      <alignment/>
      <protection/>
    </xf>
    <xf numFmtId="3" fontId="32" fillId="0" borderId="31" xfId="0" applyNumberFormat="1" applyFont="1" applyBorder="1" applyAlignment="1">
      <alignment horizontal="right"/>
    </xf>
    <xf numFmtId="3" fontId="32" fillId="0" borderId="31" xfId="0" applyNumberFormat="1" applyFont="1" applyFill="1" applyBorder="1" applyAlignment="1" applyProtection="1">
      <alignment horizontal="right" wrapText="1"/>
      <protection/>
    </xf>
    <xf numFmtId="0" fontId="34" fillId="0" borderId="29" xfId="0" applyNumberFormat="1" applyFont="1" applyFill="1" applyBorder="1" applyAlignment="1" applyProtection="1">
      <alignment wrapText="1"/>
      <protection/>
    </xf>
    <xf numFmtId="3" fontId="32" fillId="0" borderId="30" xfId="0" applyNumberFormat="1" applyFont="1" applyBorder="1" applyAlignment="1">
      <alignment horizontal="right"/>
    </xf>
    <xf numFmtId="0" fontId="32" fillId="0" borderId="29" xfId="0" applyFont="1" applyBorder="1" applyAlignment="1" quotePrefix="1">
      <alignment horizontal="left"/>
    </xf>
    <xf numFmtId="0" fontId="32" fillId="0" borderId="29" xfId="0" applyNumberFormat="1" applyFont="1" applyFill="1" applyBorder="1" applyAlignment="1" applyProtection="1">
      <alignment wrapText="1"/>
      <protection/>
    </xf>
    <xf numFmtId="0" fontId="34" fillId="0" borderId="29" xfId="0" applyNumberFormat="1" applyFont="1" applyFill="1" applyBorder="1" applyAlignment="1" applyProtection="1">
      <alignment horizontal="center" wrapText="1"/>
      <protection/>
    </xf>
    <xf numFmtId="0" fontId="33" fillId="0" borderId="3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left"/>
    </xf>
    <xf numFmtId="1" fontId="22" fillId="47" borderId="33" xfId="0" applyNumberFormat="1" applyFont="1" applyFill="1" applyBorder="1" applyAlignment="1">
      <alignment horizontal="left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/>
    </xf>
    <xf numFmtId="3" fontId="39" fillId="0" borderId="0" xfId="0" applyNumberFormat="1" applyFont="1" applyFill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42" fillId="0" borderId="39" xfId="0" applyNumberFormat="1" applyFont="1" applyFill="1" applyBorder="1" applyAlignment="1">
      <alignment horizontal="right"/>
    </xf>
    <xf numFmtId="3" fontId="35" fillId="0" borderId="40" xfId="0" applyNumberFormat="1" applyFont="1" applyFill="1" applyBorder="1" applyAlignment="1">
      <alignment wrapText="1"/>
    </xf>
    <xf numFmtId="3" fontId="35" fillId="0" borderId="40" xfId="0" applyNumberFormat="1" applyFont="1" applyFill="1" applyBorder="1" applyAlignment="1">
      <alignment/>
    </xf>
    <xf numFmtId="3" fontId="41" fillId="0" borderId="40" xfId="0" applyNumberFormat="1" applyFont="1" applyFill="1" applyBorder="1" applyAlignment="1" quotePrefix="1">
      <alignment wrapText="1"/>
    </xf>
    <xf numFmtId="3" fontId="39" fillId="0" borderId="0" xfId="0" applyNumberFormat="1" applyFont="1" applyFill="1" applyAlignment="1">
      <alignment/>
    </xf>
    <xf numFmtId="3" fontId="42" fillId="0" borderId="41" xfId="0" applyNumberFormat="1" applyFont="1" applyFill="1" applyBorder="1" applyAlignment="1">
      <alignment horizontal="right"/>
    </xf>
    <xf numFmtId="3" fontId="41" fillId="0" borderId="40" xfId="0" applyNumberFormat="1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horizontal="right"/>
    </xf>
    <xf numFmtId="0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40" fillId="0" borderId="31" xfId="0" applyFont="1" applyFill="1" applyBorder="1" applyAlignment="1">
      <alignment horizontal="center" vertical="center" wrapText="1"/>
    </xf>
    <xf numFmtId="3" fontId="40" fillId="0" borderId="31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 quotePrefix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3" fontId="36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 quotePrefix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0" fillId="0" borderId="23" xfId="0" applyFill="1" applyBorder="1" applyAlignment="1">
      <alignment/>
    </xf>
    <xf numFmtId="0" fontId="42" fillId="0" borderId="42" xfId="0" applyFont="1" applyFill="1" applyBorder="1" applyAlignment="1">
      <alignment horizontal="left"/>
    </xf>
    <xf numFmtId="0" fontId="42" fillId="0" borderId="43" xfId="0" applyFont="1" applyFill="1" applyBorder="1" applyAlignment="1">
      <alignment horizontal="left" vertical="center" wrapText="1"/>
    </xf>
    <xf numFmtId="3" fontId="42" fillId="0" borderId="43" xfId="0" applyNumberFormat="1" applyFont="1" applyFill="1" applyBorder="1" applyAlignment="1">
      <alignment horizontal="right"/>
    </xf>
    <xf numFmtId="0" fontId="42" fillId="0" borderId="44" xfId="0" applyFont="1" applyFill="1" applyBorder="1" applyAlignment="1">
      <alignment horizontal="left"/>
    </xf>
    <xf numFmtId="0" fontId="42" fillId="0" borderId="39" xfId="0" applyFont="1" applyFill="1" applyBorder="1" applyAlignment="1">
      <alignment horizontal="left" vertical="center" wrapText="1"/>
    </xf>
    <xf numFmtId="3" fontId="42" fillId="0" borderId="45" xfId="0" applyNumberFormat="1" applyFont="1" applyFill="1" applyBorder="1" applyAlignment="1">
      <alignment horizontal="right"/>
    </xf>
    <xf numFmtId="3" fontId="41" fillId="0" borderId="0" xfId="0" applyNumberFormat="1" applyFont="1" applyFill="1" applyAlignment="1">
      <alignment/>
    </xf>
    <xf numFmtId="0" fontId="43" fillId="0" borderId="46" xfId="0" applyFont="1" applyFill="1" applyBorder="1" applyAlignment="1">
      <alignment horizontal="left"/>
    </xf>
    <xf numFmtId="0" fontId="43" fillId="0" borderId="47" xfId="0" applyFont="1" applyFill="1" applyBorder="1" applyAlignment="1">
      <alignment horizontal="left" vertical="center" wrapText="1"/>
    </xf>
    <xf numFmtId="3" fontId="43" fillId="0" borderId="47" xfId="0" applyNumberFormat="1" applyFont="1" applyFill="1" applyBorder="1" applyAlignment="1">
      <alignment horizontal="right"/>
    </xf>
    <xf numFmtId="3" fontId="43" fillId="0" borderId="41" xfId="0" applyNumberFormat="1" applyFont="1" applyFill="1" applyBorder="1" applyAlignment="1">
      <alignment horizontal="right"/>
    </xf>
    <xf numFmtId="0" fontId="42" fillId="0" borderId="46" xfId="0" applyFont="1" applyFill="1" applyBorder="1" applyAlignment="1">
      <alignment horizontal="left"/>
    </xf>
    <xf numFmtId="0" fontId="42" fillId="0" borderId="47" xfId="0" applyFont="1" applyFill="1" applyBorder="1" applyAlignment="1">
      <alignment horizontal="left" vertical="center" wrapText="1"/>
    </xf>
    <xf numFmtId="3" fontId="42" fillId="0" borderId="47" xfId="0" applyNumberFormat="1" applyFont="1" applyFill="1" applyBorder="1" applyAlignment="1">
      <alignment horizontal="right"/>
    </xf>
    <xf numFmtId="0" fontId="43" fillId="0" borderId="46" xfId="0" applyFont="1" applyFill="1" applyBorder="1" applyAlignment="1">
      <alignment horizontal="left" vertical="center"/>
    </xf>
    <xf numFmtId="3" fontId="43" fillId="0" borderId="47" xfId="0" applyNumberFormat="1" applyFont="1" applyFill="1" applyBorder="1" applyAlignment="1">
      <alignment horizontal="right" vertical="center"/>
    </xf>
    <xf numFmtId="0" fontId="42" fillId="0" borderId="46" xfId="0" applyFont="1" applyFill="1" applyBorder="1" applyAlignment="1">
      <alignment horizontal="left" vertical="center"/>
    </xf>
    <xf numFmtId="3" fontId="43" fillId="0" borderId="47" xfId="89" applyNumberFormat="1" applyFont="1" applyFill="1" applyBorder="1" applyProtection="1">
      <alignment/>
      <protection locked="0"/>
    </xf>
    <xf numFmtId="3" fontId="43" fillId="0" borderId="39" xfId="89" applyNumberFormat="1" applyFont="1" applyFill="1" applyBorder="1" applyProtection="1">
      <alignment/>
      <protection locked="0"/>
    </xf>
    <xf numFmtId="3" fontId="43" fillId="0" borderId="39" xfId="0" applyNumberFormat="1" applyFont="1" applyFill="1" applyBorder="1" applyAlignment="1">
      <alignment horizontal="right"/>
    </xf>
    <xf numFmtId="3" fontId="43" fillId="0" borderId="45" xfId="0" applyNumberFormat="1" applyFont="1" applyFill="1" applyBorder="1" applyAlignment="1">
      <alignment horizontal="right"/>
    </xf>
    <xf numFmtId="3" fontId="43" fillId="0" borderId="0" xfId="0" applyNumberFormat="1" applyFont="1" applyFill="1" applyAlignment="1">
      <alignment/>
    </xf>
    <xf numFmtId="3" fontId="45" fillId="0" borderId="31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Alignment="1">
      <alignment/>
    </xf>
    <xf numFmtId="3" fontId="44" fillId="0" borderId="0" xfId="0" applyNumberFormat="1" applyFont="1" applyFill="1" applyBorder="1" applyAlignment="1" quotePrefix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/>
    </xf>
    <xf numFmtId="3" fontId="35" fillId="0" borderId="0" xfId="0" applyNumberFormat="1" applyFont="1" applyFill="1" applyBorder="1" applyAlignment="1" quotePrefix="1">
      <alignment horizontal="left" vertical="center"/>
    </xf>
    <xf numFmtId="0" fontId="42" fillId="0" borderId="31" xfId="0" applyFont="1" applyFill="1" applyBorder="1" applyAlignment="1">
      <alignment horizontal="left" vertical="center"/>
    </xf>
    <xf numFmtId="0" fontId="42" fillId="0" borderId="31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/>
    </xf>
    <xf numFmtId="0" fontId="43" fillId="0" borderId="31" xfId="0" applyFont="1" applyFill="1" applyBorder="1" applyAlignment="1">
      <alignment horizontal="left" vertical="center" wrapText="1"/>
    </xf>
    <xf numFmtId="3" fontId="43" fillId="0" borderId="31" xfId="0" applyNumberFormat="1" applyFont="1" applyFill="1" applyBorder="1" applyAlignment="1">
      <alignment horizontal="right"/>
    </xf>
    <xf numFmtId="3" fontId="21" fillId="0" borderId="31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44" fillId="0" borderId="31" xfId="0" applyFont="1" applyFill="1" applyBorder="1" applyAlignment="1">
      <alignment horizontal="left" vertical="center"/>
    </xf>
    <xf numFmtId="0" fontId="44" fillId="0" borderId="31" xfId="0" applyFont="1" applyFill="1" applyBorder="1" applyAlignment="1">
      <alignment horizontal="left" vertical="center" wrapText="1"/>
    </xf>
    <xf numFmtId="3" fontId="44" fillId="0" borderId="31" xfId="0" applyNumberFormat="1" applyFont="1" applyFill="1" applyBorder="1" applyAlignment="1">
      <alignment horizontal="right"/>
    </xf>
    <xf numFmtId="3" fontId="35" fillId="0" borderId="31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4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vertical="top"/>
    </xf>
    <xf numFmtId="0" fontId="39" fillId="0" borderId="0" xfId="0" applyNumberFormat="1" applyFont="1" applyFill="1" applyAlignment="1">
      <alignment horizontal="center"/>
    </xf>
    <xf numFmtId="3" fontId="51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" fontId="23" fillId="0" borderId="0" xfId="0" applyNumberFormat="1" applyFont="1" applyFill="1" applyBorder="1" applyAlignment="1" applyProtection="1">
      <alignment/>
      <protection/>
    </xf>
    <xf numFmtId="4" fontId="34" fillId="0" borderId="0" xfId="0" applyNumberFormat="1" applyFont="1" applyFill="1" applyBorder="1" applyAlignment="1" applyProtection="1">
      <alignment/>
      <protection/>
    </xf>
    <xf numFmtId="4" fontId="33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3" fontId="33" fillId="0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right" vertical="center" wrapText="1"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 horizontal="right" vertical="center" wrapText="1"/>
    </xf>
    <xf numFmtId="3" fontId="21" fillId="0" borderId="49" xfId="0" applyNumberFormat="1" applyFont="1" applyBorder="1" applyAlignment="1">
      <alignment horizontal="right"/>
    </xf>
    <xf numFmtId="1" fontId="22" fillId="0" borderId="48" xfId="0" applyNumberFormat="1" applyFont="1" applyBorder="1" applyAlignment="1">
      <alignment wrapText="1"/>
    </xf>
    <xf numFmtId="3" fontId="21" fillId="0" borderId="49" xfId="0" applyNumberFormat="1" applyFont="1" applyBorder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0" fontId="42" fillId="0" borderId="25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right"/>
    </xf>
    <xf numFmtId="3" fontId="42" fillId="0" borderId="23" xfId="0" applyNumberFormat="1" applyFont="1" applyFill="1" applyBorder="1" applyAlignment="1">
      <alignment horizontal="right"/>
    </xf>
    <xf numFmtId="0" fontId="43" fillId="0" borderId="25" xfId="0" applyFont="1" applyFill="1" applyBorder="1" applyAlignment="1">
      <alignment horizontal="left" vertical="center"/>
    </xf>
    <xf numFmtId="3" fontId="43" fillId="0" borderId="23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3" fontId="44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left"/>
    </xf>
    <xf numFmtId="3" fontId="39" fillId="0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center"/>
    </xf>
    <xf numFmtId="3" fontId="42" fillId="0" borderId="47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3" fontId="41" fillId="0" borderId="23" xfId="0" applyNumberFormat="1" applyFont="1" applyFill="1" applyBorder="1" applyAlignment="1">
      <alignment horizontal="center" vertical="center" wrapText="1"/>
    </xf>
    <xf numFmtId="3" fontId="54" fillId="0" borderId="47" xfId="0" applyNumberFormat="1" applyFont="1" applyFill="1" applyBorder="1" applyAlignment="1">
      <alignment horizontal="right"/>
    </xf>
    <xf numFmtId="0" fontId="54" fillId="0" borderId="25" xfId="0" applyFont="1" applyFill="1" applyBorder="1" applyAlignment="1">
      <alignment horizontal="left" vertical="center"/>
    </xf>
    <xf numFmtId="0" fontId="54" fillId="0" borderId="47" xfId="0" applyFont="1" applyFill="1" applyBorder="1" applyAlignment="1">
      <alignment horizontal="left" vertical="center" wrapText="1"/>
    </xf>
    <xf numFmtId="3" fontId="55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 horizontal="left" vertical="center" wrapText="1"/>
    </xf>
    <xf numFmtId="3" fontId="54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/>
    </xf>
    <xf numFmtId="3" fontId="56" fillId="0" borderId="47" xfId="0" applyNumberFormat="1" applyFont="1" applyFill="1" applyBorder="1" applyAlignment="1">
      <alignment horizontal="right"/>
    </xf>
    <xf numFmtId="3" fontId="57" fillId="0" borderId="47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0" fontId="59" fillId="0" borderId="25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/>
    </xf>
    <xf numFmtId="3" fontId="52" fillId="0" borderId="0" xfId="0" applyNumberFormat="1" applyFont="1" applyFill="1" applyBorder="1" applyAlignment="1" quotePrefix="1">
      <alignment horizontal="center" vertical="center" wrapText="1"/>
    </xf>
    <xf numFmtId="0" fontId="59" fillId="0" borderId="25" xfId="0" applyFont="1" applyFill="1" applyBorder="1" applyAlignment="1">
      <alignment horizontal="left"/>
    </xf>
    <xf numFmtId="0" fontId="56" fillId="0" borderId="25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3" fontId="60" fillId="0" borderId="0" xfId="0" applyNumberFormat="1" applyFont="1" applyFill="1" applyAlignment="1">
      <alignment/>
    </xf>
    <xf numFmtId="3" fontId="42" fillId="0" borderId="31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Alignment="1">
      <alignment/>
    </xf>
    <xf numFmtId="3" fontId="34" fillId="0" borderId="0" xfId="0" applyNumberFormat="1" applyFont="1" applyFill="1" applyBorder="1" applyAlignment="1" applyProtection="1">
      <alignment/>
      <protection/>
    </xf>
    <xf numFmtId="3" fontId="61" fillId="0" borderId="0" xfId="0" applyNumberFormat="1" applyFont="1" applyFill="1" applyBorder="1" applyAlignment="1" applyProtection="1">
      <alignment/>
      <protection/>
    </xf>
    <xf numFmtId="3" fontId="61" fillId="0" borderId="0" xfId="0" applyNumberFormat="1" applyFont="1" applyFill="1" applyBorder="1" applyAlignment="1" applyProtection="1">
      <alignment horizontal="center" vertical="center"/>
      <protection/>
    </xf>
    <xf numFmtId="3" fontId="61" fillId="0" borderId="0" xfId="0" applyNumberFormat="1" applyFont="1" applyFill="1" applyBorder="1" applyAlignment="1" applyProtection="1">
      <alignment horizontal="center" vertical="center" wrapText="1"/>
      <protection/>
    </xf>
    <xf numFmtId="3" fontId="39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 horizontal="center" wrapText="1"/>
    </xf>
    <xf numFmtId="3" fontId="6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 horizontal="center"/>
    </xf>
    <xf numFmtId="3" fontId="60" fillId="0" borderId="0" xfId="0" applyNumberFormat="1" applyFont="1" applyFill="1" applyAlignment="1">
      <alignment horizontal="center"/>
    </xf>
    <xf numFmtId="3" fontId="55" fillId="0" borderId="0" xfId="0" applyNumberFormat="1" applyFont="1" applyFill="1" applyAlignment="1">
      <alignment wrapText="1"/>
    </xf>
    <xf numFmtId="3" fontId="23" fillId="0" borderId="0" xfId="0" applyNumberFormat="1" applyFont="1" applyFill="1" applyBorder="1" applyAlignment="1" applyProtection="1">
      <alignment horizontal="center"/>
      <protection/>
    </xf>
    <xf numFmtId="0" fontId="35" fillId="0" borderId="30" xfId="0" applyNumberFormat="1" applyFont="1" applyFill="1" applyBorder="1" applyAlignment="1" applyProtection="1" quotePrefix="1">
      <alignment horizontal="lef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0" fontId="35" fillId="0" borderId="30" xfId="0" applyNumberFormat="1" applyFont="1" applyFill="1" applyBorder="1" applyAlignment="1" applyProtection="1">
      <alignment horizontal="left"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5" fillId="0" borderId="30" xfId="0" applyFont="1" applyBorder="1" applyAlignment="1" quotePrefix="1">
      <alignment horizontal="left"/>
    </xf>
    <xf numFmtId="0" fontId="21" fillId="0" borderId="29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30" xfId="0" applyNumberFormat="1" applyFont="1" applyFill="1" applyBorder="1" applyAlignment="1" applyProtection="1">
      <alignment horizontal="left" wrapText="1"/>
      <protection/>
    </xf>
    <xf numFmtId="0" fontId="34" fillId="0" borderId="29" xfId="0" applyNumberFormat="1" applyFont="1" applyFill="1" applyBorder="1" applyAlignment="1" applyProtection="1">
      <alignment wrapText="1"/>
      <protection/>
    </xf>
    <xf numFmtId="0" fontId="23" fillId="0" borderId="2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0" fontId="35" fillId="0" borderId="28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6" fillId="0" borderId="40" xfId="0" applyNumberFormat="1" applyFont="1" applyFill="1" applyBorder="1" applyAlignment="1" applyProtection="1" quotePrefix="1">
      <alignment horizontal="left" wrapText="1"/>
      <protection/>
    </xf>
    <xf numFmtId="0" fontId="33" fillId="0" borderId="40" xfId="0" applyNumberFormat="1" applyFont="1" applyFill="1" applyBorder="1" applyAlignment="1" applyProtection="1">
      <alignment wrapText="1"/>
      <protection/>
    </xf>
    <xf numFmtId="3" fontId="22" fillId="0" borderId="53" xfId="0" applyNumberFormat="1" applyFont="1" applyBorder="1" applyAlignment="1">
      <alignment horizontal="center"/>
    </xf>
    <xf numFmtId="3" fontId="35" fillId="0" borderId="40" xfId="0" applyNumberFormat="1" applyFont="1" applyFill="1" applyBorder="1" applyAlignment="1">
      <alignment horizontal="center" wrapText="1"/>
    </xf>
    <xf numFmtId="3" fontId="35" fillId="0" borderId="40" xfId="0" applyNumberFormat="1" applyFont="1" applyFill="1" applyBorder="1" applyAlignment="1" quotePrefix="1">
      <alignment horizontal="center" wrapText="1"/>
    </xf>
    <xf numFmtId="3" fontId="42" fillId="0" borderId="30" xfId="0" applyNumberFormat="1" applyFont="1" applyFill="1" applyBorder="1" applyAlignment="1" quotePrefix="1">
      <alignment horizontal="center" vertical="center"/>
    </xf>
    <xf numFmtId="3" fontId="42" fillId="0" borderId="54" xfId="0" applyNumberFormat="1" applyFont="1" applyFill="1" applyBorder="1" applyAlignment="1" quotePrefix="1">
      <alignment horizontal="center" vertical="center"/>
    </xf>
    <xf numFmtId="3" fontId="44" fillId="0" borderId="30" xfId="0" applyNumberFormat="1" applyFont="1" applyFill="1" applyBorder="1" applyAlignment="1" quotePrefix="1">
      <alignment horizontal="center" vertical="center"/>
    </xf>
    <xf numFmtId="3" fontId="44" fillId="0" borderId="54" xfId="0" applyNumberFormat="1" applyFont="1" applyFill="1" applyBorder="1" applyAlignment="1" quotePrefix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bično_TABLICA PRM-IZ - 2005 -2007 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7240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05375"/>
          <a:ext cx="1724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05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9525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01050"/>
          <a:ext cx="17240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0105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9" customWidth="1"/>
    <col min="5" max="5" width="44.7109375" style="1" customWidth="1"/>
    <col min="6" max="6" width="20.28125" style="1" customWidth="1"/>
    <col min="7" max="7" width="17.28125" style="1" customWidth="1"/>
    <col min="8" max="8" width="16.7109375" style="1" customWidth="1"/>
    <col min="9" max="9" width="11.57421875" style="1" bestFit="1" customWidth="1"/>
    <col min="10" max="10" width="11.57421875" style="1" customWidth="1"/>
    <col min="11" max="11" width="13.8515625" style="179" bestFit="1" customWidth="1"/>
    <col min="12" max="12" width="19.421875" style="49" bestFit="1" customWidth="1"/>
    <col min="13" max="13" width="15.28125" style="49" customWidth="1"/>
    <col min="14" max="15" width="14.00390625" style="49" customWidth="1"/>
    <col min="16" max="16" width="17.00390625" style="49" customWidth="1"/>
    <col min="17" max="17" width="11.421875" style="179" customWidth="1"/>
    <col min="18" max="16384" width="11.421875" style="1" customWidth="1"/>
  </cols>
  <sheetData>
    <row r="1" spans="1:8" ht="48" customHeight="1">
      <c r="A1" s="258" t="s">
        <v>145</v>
      </c>
      <c r="B1" s="258"/>
      <c r="C1" s="258"/>
      <c r="D1" s="258"/>
      <c r="E1" s="258"/>
      <c r="F1" s="258"/>
      <c r="G1" s="258"/>
      <c r="H1" s="258"/>
    </row>
    <row r="2" spans="1:17" s="59" customFormat="1" ht="26.25" customHeight="1">
      <c r="A2" s="258" t="s">
        <v>30</v>
      </c>
      <c r="B2" s="258"/>
      <c r="C2" s="258"/>
      <c r="D2" s="258"/>
      <c r="E2" s="258"/>
      <c r="F2" s="258"/>
      <c r="G2" s="259"/>
      <c r="H2" s="259"/>
      <c r="K2" s="180"/>
      <c r="L2" s="236"/>
      <c r="M2" s="236"/>
      <c r="N2" s="236"/>
      <c r="O2" s="236"/>
      <c r="P2" s="236"/>
      <c r="Q2" s="180"/>
    </row>
    <row r="3" spans="1:8" ht="25.5" customHeight="1">
      <c r="A3" s="258"/>
      <c r="B3" s="258"/>
      <c r="C3" s="258"/>
      <c r="D3" s="258"/>
      <c r="E3" s="258"/>
      <c r="F3" s="258"/>
      <c r="G3" s="258"/>
      <c r="H3" s="260"/>
    </row>
    <row r="4" spans="1:5" ht="9" customHeight="1">
      <c r="A4" s="60"/>
      <c r="B4" s="61"/>
      <c r="C4" s="61"/>
      <c r="D4" s="61"/>
      <c r="E4" s="61"/>
    </row>
    <row r="5" spans="1:10" ht="27.75" customHeight="1">
      <c r="A5" s="62"/>
      <c r="B5" s="63"/>
      <c r="C5" s="63"/>
      <c r="D5" s="64"/>
      <c r="E5" s="65"/>
      <c r="F5" s="66" t="s">
        <v>152</v>
      </c>
      <c r="G5" s="66" t="s">
        <v>153</v>
      </c>
      <c r="H5" s="67" t="s">
        <v>154</v>
      </c>
      <c r="I5" s="68"/>
      <c r="J5" s="83"/>
    </row>
    <row r="6" spans="1:10" ht="27.75" customHeight="1">
      <c r="A6" s="256" t="s">
        <v>31</v>
      </c>
      <c r="B6" s="255"/>
      <c r="C6" s="255"/>
      <c r="D6" s="255"/>
      <c r="E6" s="257"/>
      <c r="F6" s="71">
        <f>F7+F8</f>
        <v>281072298</v>
      </c>
      <c r="G6" s="71">
        <f>G7+G8</f>
        <v>281636913</v>
      </c>
      <c r="H6" s="71">
        <f>H7+H8</f>
        <v>226900155</v>
      </c>
      <c r="I6" s="83"/>
      <c r="J6" s="83"/>
    </row>
    <row r="7" spans="1:8" ht="22.5" customHeight="1">
      <c r="A7" s="256" t="s">
        <v>0</v>
      </c>
      <c r="B7" s="255"/>
      <c r="C7" s="255"/>
      <c r="D7" s="255"/>
      <c r="E7" s="257"/>
      <c r="F7" s="70">
        <f>265075812+15986486</f>
        <v>281062298</v>
      </c>
      <c r="G7" s="70">
        <f>270322467+11304446</f>
        <v>281626913</v>
      </c>
      <c r="H7" s="70">
        <v>226890155</v>
      </c>
    </row>
    <row r="8" spans="1:8" ht="22.5" customHeight="1">
      <c r="A8" s="261" t="s">
        <v>35</v>
      </c>
      <c r="B8" s="257"/>
      <c r="C8" s="257"/>
      <c r="D8" s="257"/>
      <c r="E8" s="257"/>
      <c r="F8" s="70">
        <v>10000</v>
      </c>
      <c r="G8" s="70">
        <v>10000</v>
      </c>
      <c r="H8" s="70">
        <v>10000</v>
      </c>
    </row>
    <row r="9" spans="1:8" ht="22.5" customHeight="1">
      <c r="A9" s="84" t="s">
        <v>32</v>
      </c>
      <c r="B9" s="69"/>
      <c r="C9" s="69"/>
      <c r="D9" s="69"/>
      <c r="E9" s="69"/>
      <c r="F9" s="70">
        <f>F10+F11</f>
        <v>268395631</v>
      </c>
      <c r="G9" s="70">
        <f>G10+G11</f>
        <v>268960246</v>
      </c>
      <c r="H9" s="70">
        <f>H10+H11</f>
        <v>214223488</v>
      </c>
    </row>
    <row r="10" spans="1:8" ht="22.5" customHeight="1">
      <c r="A10" s="254" t="s">
        <v>1</v>
      </c>
      <c r="B10" s="255"/>
      <c r="C10" s="255"/>
      <c r="D10" s="255"/>
      <c r="E10" s="262"/>
      <c r="F10" s="71">
        <v>208276833</v>
      </c>
      <c r="G10" s="71">
        <v>208841448</v>
      </c>
      <c r="H10" s="71">
        <v>209541448</v>
      </c>
    </row>
    <row r="11" spans="1:8" ht="22.5" customHeight="1">
      <c r="A11" s="261" t="s">
        <v>2</v>
      </c>
      <c r="B11" s="257"/>
      <c r="C11" s="257"/>
      <c r="D11" s="257"/>
      <c r="E11" s="257"/>
      <c r="F11" s="71">
        <f>60118798</f>
        <v>60118798</v>
      </c>
      <c r="G11" s="71">
        <v>60118798</v>
      </c>
      <c r="H11" s="71">
        <v>4682040</v>
      </c>
    </row>
    <row r="12" spans="1:8" ht="22.5" customHeight="1">
      <c r="A12" s="254" t="s">
        <v>3</v>
      </c>
      <c r="B12" s="255"/>
      <c r="C12" s="255"/>
      <c r="D12" s="255"/>
      <c r="E12" s="255"/>
      <c r="F12" s="71">
        <f>+F6-F9</f>
        <v>12676667</v>
      </c>
      <c r="G12" s="71">
        <f>+G6-G9</f>
        <v>12676667</v>
      </c>
      <c r="H12" s="71">
        <f>+H6-H9</f>
        <v>12676667</v>
      </c>
    </row>
    <row r="13" spans="1:12" ht="25.5" customHeight="1">
      <c r="A13" s="258"/>
      <c r="B13" s="263"/>
      <c r="C13" s="263"/>
      <c r="D13" s="263"/>
      <c r="E13" s="263"/>
      <c r="F13" s="260"/>
      <c r="G13" s="260"/>
      <c r="H13" s="260"/>
      <c r="L13" s="253"/>
    </row>
    <row r="14" spans="1:8" ht="27.75" customHeight="1">
      <c r="A14" s="62"/>
      <c r="B14" s="63"/>
      <c r="C14" s="63"/>
      <c r="D14" s="64"/>
      <c r="E14" s="65"/>
      <c r="F14" s="66" t="s">
        <v>152</v>
      </c>
      <c r="G14" s="66" t="s">
        <v>153</v>
      </c>
      <c r="H14" s="67" t="s">
        <v>154</v>
      </c>
    </row>
    <row r="15" spans="1:10" ht="22.5" customHeight="1">
      <c r="A15" s="264" t="s">
        <v>4</v>
      </c>
      <c r="B15" s="265"/>
      <c r="C15" s="265"/>
      <c r="D15" s="265"/>
      <c r="E15" s="266"/>
      <c r="F15" s="73">
        <v>-11010000</v>
      </c>
      <c r="G15" s="73">
        <v>-11010000</v>
      </c>
      <c r="H15" s="73">
        <v>-11010000</v>
      </c>
      <c r="I15" s="49"/>
      <c r="J15" s="49"/>
    </row>
    <row r="16" spans="1:17" s="54" customFormat="1" ht="25.5" customHeight="1">
      <c r="A16" s="267"/>
      <c r="B16" s="263"/>
      <c r="C16" s="263"/>
      <c r="D16" s="263"/>
      <c r="E16" s="263"/>
      <c r="F16" s="260"/>
      <c r="G16" s="260"/>
      <c r="H16" s="260"/>
      <c r="K16" s="181"/>
      <c r="L16" s="49"/>
      <c r="M16" s="183"/>
      <c r="N16" s="183"/>
      <c r="O16" s="183"/>
      <c r="P16" s="183"/>
      <c r="Q16" s="181"/>
    </row>
    <row r="17" spans="1:17" s="54" customFormat="1" ht="27.75" customHeight="1">
      <c r="A17" s="62"/>
      <c r="B17" s="63"/>
      <c r="C17" s="63"/>
      <c r="D17" s="64"/>
      <c r="E17" s="65"/>
      <c r="F17" s="66" t="s">
        <v>152</v>
      </c>
      <c r="G17" s="66" t="s">
        <v>153</v>
      </c>
      <c r="H17" s="67" t="s">
        <v>154</v>
      </c>
      <c r="K17" s="181"/>
      <c r="L17" s="238"/>
      <c r="M17" s="238"/>
      <c r="N17" s="238"/>
      <c r="O17" s="238"/>
      <c r="P17" s="239"/>
      <c r="Q17" s="181"/>
    </row>
    <row r="18" spans="1:17" s="54" customFormat="1" ht="22.5" customHeight="1">
      <c r="A18" s="256" t="s">
        <v>5</v>
      </c>
      <c r="B18" s="255"/>
      <c r="C18" s="255"/>
      <c r="D18" s="255"/>
      <c r="E18" s="255"/>
      <c r="F18" s="70">
        <v>0</v>
      </c>
      <c r="G18" s="70">
        <v>0</v>
      </c>
      <c r="H18" s="70">
        <v>0</v>
      </c>
      <c r="K18" s="181"/>
      <c r="L18" s="237"/>
      <c r="M18" s="237"/>
      <c r="N18" s="237"/>
      <c r="O18" s="237"/>
      <c r="P18" s="237"/>
      <c r="Q18" s="181"/>
    </row>
    <row r="19" spans="1:17" s="54" customFormat="1" ht="22.5" customHeight="1">
      <c r="A19" s="256" t="s">
        <v>6</v>
      </c>
      <c r="B19" s="255"/>
      <c r="C19" s="255"/>
      <c r="D19" s="255"/>
      <c r="E19" s="255"/>
      <c r="F19" s="70">
        <v>1666667</v>
      </c>
      <c r="G19" s="70">
        <v>1666667</v>
      </c>
      <c r="H19" s="70">
        <v>1666667</v>
      </c>
      <c r="K19" s="181"/>
      <c r="L19" s="237"/>
      <c r="M19" s="237"/>
      <c r="N19" s="237"/>
      <c r="O19" s="237"/>
      <c r="P19" s="237"/>
      <c r="Q19" s="181"/>
    </row>
    <row r="20" spans="1:17" s="54" customFormat="1" ht="22.5" customHeight="1">
      <c r="A20" s="254" t="s">
        <v>7</v>
      </c>
      <c r="B20" s="255"/>
      <c r="C20" s="255"/>
      <c r="D20" s="255"/>
      <c r="E20" s="255"/>
      <c r="F20" s="70">
        <f>F18-F19</f>
        <v>-1666667</v>
      </c>
      <c r="G20" s="70">
        <f>G18-G19</f>
        <v>-1666667</v>
      </c>
      <c r="H20" s="70">
        <f>H18-H19</f>
        <v>-1666667</v>
      </c>
      <c r="K20" s="181"/>
      <c r="L20" s="183"/>
      <c r="M20" s="183"/>
      <c r="N20" s="183"/>
      <c r="O20" s="183"/>
      <c r="P20" s="183"/>
      <c r="Q20" s="181"/>
    </row>
    <row r="21" spans="1:17" s="54" customFormat="1" ht="15" customHeight="1">
      <c r="A21" s="74"/>
      <c r="B21" s="75"/>
      <c r="C21" s="72"/>
      <c r="D21" s="76"/>
      <c r="E21" s="75"/>
      <c r="F21" s="77"/>
      <c r="G21" s="77"/>
      <c r="H21" s="77"/>
      <c r="K21" s="181"/>
      <c r="L21" s="238"/>
      <c r="M21" s="238"/>
      <c r="N21" s="238"/>
      <c r="O21" s="238"/>
      <c r="P21" s="239"/>
      <c r="Q21" s="181"/>
    </row>
    <row r="22" spans="1:17" s="54" customFormat="1" ht="22.5" customHeight="1">
      <c r="A22" s="254" t="s">
        <v>8</v>
      </c>
      <c r="B22" s="255"/>
      <c r="C22" s="255"/>
      <c r="D22" s="255"/>
      <c r="E22" s="255"/>
      <c r="F22" s="70">
        <f>SUM(F12,F15,F20)</f>
        <v>0</v>
      </c>
      <c r="G22" s="70">
        <f>SUM(G12,G15,G20)</f>
        <v>0</v>
      </c>
      <c r="H22" s="70">
        <f>SUM(H12,H15,H20)</f>
        <v>0</v>
      </c>
      <c r="K22" s="181"/>
      <c r="L22" s="237"/>
      <c r="M22" s="237"/>
      <c r="N22" s="237"/>
      <c r="O22" s="237"/>
      <c r="P22" s="237"/>
      <c r="Q22" s="181"/>
    </row>
    <row r="23" spans="1:17" s="54" customFormat="1" ht="18" customHeight="1">
      <c r="A23" s="78"/>
      <c r="B23" s="61"/>
      <c r="C23" s="61"/>
      <c r="D23" s="61"/>
      <c r="E23" s="61"/>
      <c r="K23" s="181"/>
      <c r="L23" s="237"/>
      <c r="M23" s="237"/>
      <c r="N23" s="237"/>
      <c r="O23" s="237"/>
      <c r="P23" s="237"/>
      <c r="Q23" s="181"/>
    </row>
    <row r="24" spans="11:16" ht="18">
      <c r="K24" s="181"/>
      <c r="L24" s="183"/>
      <c r="M24" s="183"/>
      <c r="N24" s="183"/>
      <c r="O24" s="183"/>
      <c r="P24" s="183"/>
    </row>
    <row r="25" spans="11:16" ht="18">
      <c r="K25" s="181"/>
      <c r="L25" s="238"/>
      <c r="M25" s="238"/>
      <c r="N25" s="238"/>
      <c r="O25" s="238"/>
      <c r="P25" s="239"/>
    </row>
    <row r="26" spans="11:16" ht="18">
      <c r="K26" s="181"/>
      <c r="L26" s="237"/>
      <c r="M26" s="237"/>
      <c r="N26" s="237"/>
      <c r="O26" s="237"/>
      <c r="P26" s="237"/>
    </row>
    <row r="27" spans="11:16" ht="18">
      <c r="K27" s="181"/>
      <c r="L27" s="237"/>
      <c r="M27" s="237"/>
      <c r="N27" s="237"/>
      <c r="O27" s="237"/>
      <c r="P27" s="237"/>
    </row>
    <row r="28" spans="11:16" ht="18">
      <c r="K28" s="181"/>
      <c r="L28" s="183"/>
      <c r="M28" s="183"/>
      <c r="N28" s="183"/>
      <c r="O28" s="183"/>
      <c r="P28" s="183"/>
    </row>
    <row r="29" spans="11:16" ht="18">
      <c r="K29" s="181"/>
      <c r="L29" s="238"/>
      <c r="M29" s="238"/>
      <c r="N29" s="238"/>
      <c r="O29" s="238"/>
      <c r="P29" s="239"/>
    </row>
    <row r="30" spans="11:16" ht="18">
      <c r="K30" s="181"/>
      <c r="L30" s="237"/>
      <c r="M30" s="237"/>
      <c r="N30" s="237"/>
      <c r="O30" s="237"/>
      <c r="P30" s="237"/>
    </row>
    <row r="31" spans="11:16" ht="18">
      <c r="K31" s="181"/>
      <c r="L31" s="237"/>
      <c r="M31" s="237"/>
      <c r="N31" s="237"/>
      <c r="O31" s="237"/>
      <c r="P31" s="23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26.140625" style="24" customWidth="1"/>
    <col min="2" max="4" width="17.57421875" style="24" customWidth="1"/>
    <col min="5" max="6" width="17.57421875" style="55" customWidth="1"/>
    <col min="7" max="9" width="17.57421875" style="1" customWidth="1"/>
    <col min="10" max="10" width="13.28125" style="1" customWidth="1"/>
    <col min="11" max="11" width="7.8515625" style="1" customWidth="1"/>
    <col min="12" max="15" width="12.7109375" style="49" customWidth="1"/>
    <col min="16" max="16384" width="11.421875" style="1" customWidth="1"/>
  </cols>
  <sheetData>
    <row r="1" spans="1:10" ht="24" customHeight="1">
      <c r="A1" s="258" t="s">
        <v>149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5" s="2" customFormat="1" ht="13.5" thickBot="1">
      <c r="A2" s="13"/>
      <c r="J2" s="14" t="s">
        <v>9</v>
      </c>
      <c r="L2" s="182"/>
      <c r="M2" s="182"/>
      <c r="N2" s="182"/>
      <c r="O2" s="182"/>
    </row>
    <row r="3" spans="1:15" s="2" customFormat="1" ht="16.5" thickBot="1">
      <c r="A3" s="80" t="s">
        <v>10</v>
      </c>
      <c r="B3" s="271" t="s">
        <v>37</v>
      </c>
      <c r="C3" s="272"/>
      <c r="D3" s="273"/>
      <c r="E3" s="273"/>
      <c r="F3" s="273"/>
      <c r="G3" s="273"/>
      <c r="H3" s="273"/>
      <c r="I3" s="273"/>
      <c r="J3" s="274"/>
      <c r="L3" s="182"/>
      <c r="M3" s="182"/>
      <c r="N3" s="182"/>
      <c r="O3" s="182"/>
    </row>
    <row r="4" spans="1:15" s="2" customFormat="1" ht="89.25">
      <c r="A4" s="85" t="s">
        <v>11</v>
      </c>
      <c r="B4" s="89" t="s">
        <v>42</v>
      </c>
      <c r="C4" s="89" t="s">
        <v>43</v>
      </c>
      <c r="D4" s="90" t="s">
        <v>12</v>
      </c>
      <c r="E4" s="90" t="s">
        <v>44</v>
      </c>
      <c r="F4" s="90" t="s">
        <v>45</v>
      </c>
      <c r="G4" s="90" t="s">
        <v>13</v>
      </c>
      <c r="H4" s="90" t="s">
        <v>14</v>
      </c>
      <c r="I4" s="90" t="s">
        <v>36</v>
      </c>
      <c r="J4" s="91" t="s">
        <v>16</v>
      </c>
      <c r="L4" s="182"/>
      <c r="M4" s="182"/>
      <c r="N4" s="182"/>
      <c r="O4" s="182"/>
    </row>
    <row r="5" spans="1:15" s="2" customFormat="1" ht="12.75">
      <c r="A5" s="185" t="s">
        <v>119</v>
      </c>
      <c r="B5" s="93"/>
      <c r="C5" s="93"/>
      <c r="D5" s="94"/>
      <c r="E5" s="95"/>
      <c r="F5" s="95"/>
      <c r="G5" s="93">
        <f>11010000+20436758</f>
        <v>31446758</v>
      </c>
      <c r="H5" s="93"/>
      <c r="I5" s="93"/>
      <c r="J5" s="186"/>
      <c r="L5" s="182"/>
      <c r="M5" s="182"/>
      <c r="N5" s="182"/>
      <c r="O5" s="182"/>
    </row>
    <row r="6" spans="1:15" s="2" customFormat="1" ht="27" customHeight="1">
      <c r="A6" s="185" t="s">
        <v>130</v>
      </c>
      <c r="B6" s="94"/>
      <c r="C6" s="94"/>
      <c r="D6" s="94"/>
      <c r="E6" s="94"/>
      <c r="F6" s="94"/>
      <c r="G6" s="94">
        <v>35000000</v>
      </c>
      <c r="H6" s="94"/>
      <c r="I6" s="94"/>
      <c r="J6" s="187"/>
      <c r="L6" s="182"/>
      <c r="M6" s="182"/>
      <c r="N6" s="182"/>
      <c r="O6" s="182"/>
    </row>
    <row r="7" spans="1:15" s="2" customFormat="1" ht="12" customHeight="1">
      <c r="A7" s="185" t="s">
        <v>121</v>
      </c>
      <c r="B7" s="94"/>
      <c r="C7" s="94">
        <v>190000</v>
      </c>
      <c r="D7" s="94"/>
      <c r="E7" s="94"/>
      <c r="F7" s="94"/>
      <c r="G7" s="94"/>
      <c r="H7" s="94"/>
      <c r="I7" s="94"/>
      <c r="J7" s="187"/>
      <c r="L7" s="182"/>
      <c r="M7" s="182"/>
      <c r="N7" s="182"/>
      <c r="O7" s="182"/>
    </row>
    <row r="8" spans="1:15" s="2" customFormat="1" ht="12.75">
      <c r="A8" s="185" t="s">
        <v>120</v>
      </c>
      <c r="B8" s="94"/>
      <c r="C8" s="94">
        <v>140000</v>
      </c>
      <c r="D8" s="94"/>
      <c r="E8" s="94"/>
      <c r="F8" s="94"/>
      <c r="G8" s="94"/>
      <c r="H8" s="94"/>
      <c r="I8" s="94"/>
      <c r="J8" s="187"/>
      <c r="L8" s="182"/>
      <c r="M8" s="182"/>
      <c r="N8" s="182"/>
      <c r="O8" s="182"/>
    </row>
    <row r="9" spans="1:15" s="2" customFormat="1" ht="12.75">
      <c r="A9" s="185" t="s">
        <v>122</v>
      </c>
      <c r="B9" s="94"/>
      <c r="C9" s="94"/>
      <c r="D9" s="94"/>
      <c r="E9" s="94"/>
      <c r="F9" s="94">
        <v>1039239</v>
      </c>
      <c r="G9" s="94"/>
      <c r="H9" s="94"/>
      <c r="I9" s="94"/>
      <c r="J9" s="187"/>
      <c r="L9" s="182"/>
      <c r="M9" s="182"/>
      <c r="N9" s="182"/>
      <c r="O9" s="182"/>
    </row>
    <row r="10" spans="1:15" s="2" customFormat="1" ht="15" customHeight="1">
      <c r="A10" s="185" t="s">
        <v>123</v>
      </c>
      <c r="B10" s="94"/>
      <c r="C10" s="94"/>
      <c r="D10" s="94">
        <v>2700000</v>
      </c>
      <c r="E10" s="94"/>
      <c r="F10" s="94"/>
      <c r="G10" s="94"/>
      <c r="H10" s="94"/>
      <c r="I10" s="94"/>
      <c r="J10" s="187"/>
      <c r="L10" s="182"/>
      <c r="M10" s="182"/>
      <c r="N10" s="182"/>
      <c r="O10" s="182"/>
    </row>
    <row r="11" spans="1:15" s="2" customFormat="1" ht="12.75">
      <c r="A11" s="185" t="s">
        <v>124</v>
      </c>
      <c r="B11" s="94"/>
      <c r="C11" s="94"/>
      <c r="D11" s="94"/>
      <c r="E11" s="94"/>
      <c r="F11" s="94"/>
      <c r="G11" s="94"/>
      <c r="H11" s="94">
        <v>300000</v>
      </c>
      <c r="I11" s="94"/>
      <c r="J11" s="187"/>
      <c r="L11" s="182"/>
      <c r="M11" s="182"/>
      <c r="N11" s="182"/>
      <c r="O11" s="182"/>
    </row>
    <row r="12" spans="1:15" s="2" customFormat="1" ht="12.75">
      <c r="A12" s="185" t="s">
        <v>134</v>
      </c>
      <c r="B12" s="94">
        <v>9606655</v>
      </c>
      <c r="C12" s="94"/>
      <c r="D12" s="94"/>
      <c r="E12" s="94"/>
      <c r="F12" s="94"/>
      <c r="G12" s="94"/>
      <c r="H12" s="94"/>
      <c r="I12" s="94"/>
      <c r="J12" s="187"/>
      <c r="L12" s="182"/>
      <c r="M12" s="182"/>
      <c r="N12" s="182"/>
      <c r="O12" s="182"/>
    </row>
    <row r="13" spans="1:15" s="2" customFormat="1" ht="12" customHeight="1">
      <c r="A13" s="185" t="s">
        <v>125</v>
      </c>
      <c r="B13" s="94"/>
      <c r="C13" s="94"/>
      <c r="D13" s="94"/>
      <c r="E13" s="94">
        <v>200358146</v>
      </c>
      <c r="F13" s="94"/>
      <c r="G13" s="94"/>
      <c r="H13" s="94"/>
      <c r="I13" s="94"/>
      <c r="J13" s="187"/>
      <c r="L13" s="182"/>
      <c r="M13" s="182"/>
      <c r="N13" s="182"/>
      <c r="O13" s="182"/>
    </row>
    <row r="14" spans="1:15" s="2" customFormat="1" ht="12.75" customHeight="1">
      <c r="A14" s="185" t="s">
        <v>138</v>
      </c>
      <c r="B14" s="94"/>
      <c r="C14" s="94">
        <v>90000</v>
      </c>
      <c r="D14" s="94"/>
      <c r="E14" s="94"/>
      <c r="F14" s="94"/>
      <c r="G14" s="94"/>
      <c r="H14" s="94"/>
      <c r="I14" s="94"/>
      <c r="J14" s="187"/>
      <c r="L14" s="182"/>
      <c r="M14" s="182"/>
      <c r="N14" s="182"/>
      <c r="O14" s="182"/>
    </row>
    <row r="15" spans="1:15" s="2" customFormat="1" ht="12.75">
      <c r="A15" s="185" t="s">
        <v>139</v>
      </c>
      <c r="B15" s="94"/>
      <c r="C15" s="94">
        <f>191114+386</f>
        <v>191500</v>
      </c>
      <c r="D15" s="94"/>
      <c r="E15" s="94"/>
      <c r="F15" s="94"/>
      <c r="G15" s="94"/>
      <c r="H15" s="94"/>
      <c r="I15" s="94"/>
      <c r="J15" s="187"/>
      <c r="M15" s="182"/>
      <c r="N15" s="182"/>
      <c r="O15" s="182"/>
    </row>
    <row r="16" spans="1:15" s="2" customFormat="1" ht="12.75">
      <c r="A16" s="185" t="s">
        <v>126</v>
      </c>
      <c r="B16" s="94"/>
      <c r="C16" s="94"/>
      <c r="D16" s="94"/>
      <c r="E16" s="94"/>
      <c r="F16" s="94"/>
      <c r="G16" s="94"/>
      <c r="H16" s="94"/>
      <c r="I16" s="94">
        <v>10000</v>
      </c>
      <c r="J16" s="187"/>
      <c r="L16" s="182"/>
      <c r="M16" s="49"/>
      <c r="N16" s="49"/>
      <c r="O16" s="182"/>
    </row>
    <row r="17" spans="1:15" s="2" customFormat="1" ht="12.75">
      <c r="A17" s="185"/>
      <c r="B17" s="94"/>
      <c r="C17" s="94"/>
      <c r="D17" s="94"/>
      <c r="E17" s="94"/>
      <c r="F17" s="94"/>
      <c r="G17" s="94"/>
      <c r="H17" s="94"/>
      <c r="I17" s="94"/>
      <c r="J17" s="187"/>
      <c r="L17" s="49"/>
      <c r="M17" s="49"/>
      <c r="N17" s="49"/>
      <c r="O17" s="204"/>
    </row>
    <row r="18" spans="1:15" s="2" customFormat="1" ht="18.75" customHeight="1">
      <c r="A18" s="188" t="s">
        <v>17</v>
      </c>
      <c r="B18" s="96">
        <f>SUM(B5:B17)</f>
        <v>9606655</v>
      </c>
      <c r="C18" s="96">
        <f aca="true" t="shared" si="0" ref="C18:J18">SUM(C5:C17)</f>
        <v>611500</v>
      </c>
      <c r="D18" s="96">
        <f t="shared" si="0"/>
        <v>2700000</v>
      </c>
      <c r="E18" s="96">
        <f t="shared" si="0"/>
        <v>200358146</v>
      </c>
      <c r="F18" s="96">
        <f t="shared" si="0"/>
        <v>1039239</v>
      </c>
      <c r="G18" s="96">
        <f t="shared" si="0"/>
        <v>66446758</v>
      </c>
      <c r="H18" s="96">
        <f t="shared" si="0"/>
        <v>300000</v>
      </c>
      <c r="I18" s="96">
        <f t="shared" si="0"/>
        <v>10000</v>
      </c>
      <c r="J18" s="189">
        <f t="shared" si="0"/>
        <v>0</v>
      </c>
      <c r="L18" s="49"/>
      <c r="M18" s="49"/>
      <c r="N18" s="49"/>
      <c r="O18" s="182"/>
    </row>
    <row r="19" spans="1:15" s="2" customFormat="1" ht="28.5" customHeight="1" thickBot="1">
      <c r="A19" s="92" t="s">
        <v>38</v>
      </c>
      <c r="B19" s="268">
        <f>B18+D18+E18+G18+H18+I18+J18+F18+C18</f>
        <v>281072298</v>
      </c>
      <c r="C19" s="269"/>
      <c r="D19" s="269"/>
      <c r="E19" s="269"/>
      <c r="F19" s="269"/>
      <c r="G19" s="269"/>
      <c r="H19" s="269"/>
      <c r="I19" s="269"/>
      <c r="J19" s="270"/>
      <c r="L19" s="182"/>
      <c r="O19" s="182"/>
    </row>
    <row r="20" spans="1:10" ht="13.5" thickBot="1">
      <c r="A20" s="11"/>
      <c r="B20" s="11"/>
      <c r="C20" s="11"/>
      <c r="D20" s="11"/>
      <c r="E20" s="12"/>
      <c r="F20" s="12"/>
      <c r="G20" s="23"/>
      <c r="J20" s="14"/>
    </row>
    <row r="21" spans="1:10" ht="24" customHeight="1" thickBot="1">
      <c r="A21" s="81" t="s">
        <v>10</v>
      </c>
      <c r="B21" s="271" t="s">
        <v>39</v>
      </c>
      <c r="C21" s="272"/>
      <c r="D21" s="273"/>
      <c r="E21" s="273"/>
      <c r="F21" s="273"/>
      <c r="G21" s="273"/>
      <c r="H21" s="273"/>
      <c r="I21" s="273"/>
      <c r="J21" s="274"/>
    </row>
    <row r="22" spans="1:10" ht="90" thickBot="1">
      <c r="A22" s="82" t="s">
        <v>11</v>
      </c>
      <c r="B22" s="86" t="s">
        <v>42</v>
      </c>
      <c r="C22" s="86" t="s">
        <v>43</v>
      </c>
      <c r="D22" s="87" t="s">
        <v>12</v>
      </c>
      <c r="E22" s="87" t="s">
        <v>44</v>
      </c>
      <c r="F22" s="87" t="s">
        <v>45</v>
      </c>
      <c r="G22" s="87" t="s">
        <v>13</v>
      </c>
      <c r="H22" s="87" t="s">
        <v>14</v>
      </c>
      <c r="I22" s="87" t="s">
        <v>36</v>
      </c>
      <c r="J22" s="88" t="s">
        <v>16</v>
      </c>
    </row>
    <row r="23" spans="1:10" ht="12.75">
      <c r="A23" s="3">
        <v>63</v>
      </c>
      <c r="B23" s="4"/>
      <c r="C23" s="4"/>
      <c r="D23" s="5"/>
      <c r="E23" s="6"/>
      <c r="F23" s="6"/>
      <c r="G23" s="184">
        <f>11010000+60118798</f>
        <v>71128798</v>
      </c>
      <c r="H23" s="7"/>
      <c r="I23" s="8"/>
      <c r="J23" s="9"/>
    </row>
    <row r="24" spans="1:10" ht="12.75">
      <c r="A24" s="15">
        <v>64</v>
      </c>
      <c r="B24" s="16"/>
      <c r="C24" s="16">
        <v>300000</v>
      </c>
      <c r="D24" s="17"/>
      <c r="E24" s="17"/>
      <c r="F24" s="17"/>
      <c r="G24" s="17"/>
      <c r="H24" s="17"/>
      <c r="I24" s="18"/>
      <c r="J24" s="19"/>
    </row>
    <row r="25" spans="1:10" ht="12.75">
      <c r="A25" s="15">
        <v>65</v>
      </c>
      <c r="B25" s="16"/>
      <c r="C25" s="16"/>
      <c r="D25" s="17"/>
      <c r="E25" s="17"/>
      <c r="F25" s="17">
        <v>1040000</v>
      </c>
      <c r="G25" s="17"/>
      <c r="H25" s="17"/>
      <c r="I25" s="18"/>
      <c r="J25" s="19"/>
    </row>
    <row r="26" spans="1:10" ht="12.75">
      <c r="A26" s="15">
        <v>66</v>
      </c>
      <c r="B26" s="16"/>
      <c r="C26" s="16"/>
      <c r="D26" s="17">
        <v>3000000</v>
      </c>
      <c r="E26" s="17"/>
      <c r="F26" s="17"/>
      <c r="G26" s="17"/>
      <c r="H26" s="17">
        <v>300000</v>
      </c>
      <c r="I26" s="18"/>
      <c r="J26" s="19"/>
    </row>
    <row r="27" spans="1:10" ht="12.75">
      <c r="A27" s="15">
        <v>67</v>
      </c>
      <c r="B27" s="16">
        <v>9606655</v>
      </c>
      <c r="C27" s="16"/>
      <c r="D27" s="17"/>
      <c r="E27" s="17">
        <f>172694265+14022321+13916914</f>
        <v>200633500</v>
      </c>
      <c r="F27" s="17"/>
      <c r="G27" s="17"/>
      <c r="H27" s="17"/>
      <c r="I27" s="18"/>
      <c r="J27" s="19"/>
    </row>
    <row r="28" spans="1:10" ht="12.75">
      <c r="A28" s="15">
        <v>68</v>
      </c>
      <c r="B28" s="16"/>
      <c r="C28" s="16">
        <v>300000</v>
      </c>
      <c r="D28" s="17"/>
      <c r="E28" s="17"/>
      <c r="F28" s="17"/>
      <c r="G28" s="17"/>
      <c r="H28" s="17"/>
      <c r="I28" s="18">
        <v>10000</v>
      </c>
      <c r="J28" s="19"/>
    </row>
    <row r="29" spans="1:10" ht="13.5" thickBot="1">
      <c r="A29" s="15">
        <v>71</v>
      </c>
      <c r="B29" s="16"/>
      <c r="C29" s="16"/>
      <c r="D29" s="17"/>
      <c r="E29" s="17"/>
      <c r="F29" s="17"/>
      <c r="G29" s="17"/>
      <c r="H29" s="17"/>
      <c r="I29" s="18"/>
      <c r="J29" s="19"/>
    </row>
    <row r="30" spans="1:15" s="2" customFormat="1" ht="30" customHeight="1" thickBot="1">
      <c r="A30" s="20" t="s">
        <v>17</v>
      </c>
      <c r="B30" s="21">
        <f>SUM(B23:B29)</f>
        <v>9606655</v>
      </c>
      <c r="C30" s="21">
        <f aca="true" t="shared" si="1" ref="C30:J30">SUM(C23:C29)</f>
        <v>600000</v>
      </c>
      <c r="D30" s="21">
        <f t="shared" si="1"/>
        <v>3000000</v>
      </c>
      <c r="E30" s="21">
        <f t="shared" si="1"/>
        <v>200633500</v>
      </c>
      <c r="F30" s="21">
        <f t="shared" si="1"/>
        <v>1040000</v>
      </c>
      <c r="G30" s="21">
        <f t="shared" si="1"/>
        <v>71128798</v>
      </c>
      <c r="H30" s="21">
        <f t="shared" si="1"/>
        <v>300000</v>
      </c>
      <c r="I30" s="21">
        <f t="shared" si="1"/>
        <v>10000</v>
      </c>
      <c r="J30" s="22">
        <f t="shared" si="1"/>
        <v>0</v>
      </c>
      <c r="L30" s="182"/>
      <c r="M30" s="182"/>
      <c r="N30" s="182"/>
      <c r="O30" s="182"/>
    </row>
    <row r="31" spans="1:15" s="2" customFormat="1" ht="28.5" customHeight="1" thickBot="1">
      <c r="A31" s="20" t="s">
        <v>40</v>
      </c>
      <c r="B31" s="275">
        <f>SUM(B30:J30)</f>
        <v>286318953</v>
      </c>
      <c r="C31" s="276"/>
      <c r="D31" s="276"/>
      <c r="E31" s="276"/>
      <c r="F31" s="276"/>
      <c r="G31" s="276"/>
      <c r="H31" s="276"/>
      <c r="I31" s="276"/>
      <c r="J31" s="270"/>
      <c r="L31" s="182"/>
      <c r="M31" s="182"/>
      <c r="N31" s="182"/>
      <c r="O31" s="182"/>
    </row>
    <row r="32" spans="5:8" ht="13.5" thickBot="1">
      <c r="E32" s="25"/>
      <c r="F32" s="25"/>
      <c r="G32" s="26"/>
      <c r="H32" s="49"/>
    </row>
    <row r="33" spans="1:10" ht="16.5" thickBot="1">
      <c r="A33" s="81" t="s">
        <v>10</v>
      </c>
      <c r="B33" s="271" t="s">
        <v>150</v>
      </c>
      <c r="C33" s="272"/>
      <c r="D33" s="273"/>
      <c r="E33" s="273"/>
      <c r="F33" s="273"/>
      <c r="G33" s="273"/>
      <c r="H33" s="273"/>
      <c r="I33" s="273"/>
      <c r="J33" s="274"/>
    </row>
    <row r="34" spans="1:10" ht="90" thickBot="1">
      <c r="A34" s="82" t="s">
        <v>11</v>
      </c>
      <c r="B34" s="86" t="s">
        <v>42</v>
      </c>
      <c r="C34" s="86" t="s">
        <v>43</v>
      </c>
      <c r="D34" s="87" t="s">
        <v>12</v>
      </c>
      <c r="E34" s="87" t="s">
        <v>44</v>
      </c>
      <c r="F34" s="87" t="s">
        <v>45</v>
      </c>
      <c r="G34" s="87" t="s">
        <v>13</v>
      </c>
      <c r="H34" s="87" t="s">
        <v>14</v>
      </c>
      <c r="I34" s="87" t="s">
        <v>36</v>
      </c>
      <c r="J34" s="88" t="s">
        <v>16</v>
      </c>
    </row>
    <row r="35" spans="1:10" ht="12.75">
      <c r="A35" s="3">
        <v>63</v>
      </c>
      <c r="B35" s="4"/>
      <c r="C35" s="4"/>
      <c r="D35" s="5"/>
      <c r="E35" s="6"/>
      <c r="F35" s="6"/>
      <c r="G35" s="184">
        <v>11010000</v>
      </c>
      <c r="H35" s="7"/>
      <c r="I35" s="8"/>
      <c r="J35" s="9"/>
    </row>
    <row r="36" spans="1:10" ht="12.75">
      <c r="A36" s="15">
        <v>64</v>
      </c>
      <c r="B36" s="16"/>
      <c r="C36" s="16">
        <v>300000</v>
      </c>
      <c r="D36" s="17"/>
      <c r="E36" s="17"/>
      <c r="F36" s="17"/>
      <c r="G36" s="17"/>
      <c r="H36" s="17"/>
      <c r="I36" s="18"/>
      <c r="J36" s="19"/>
    </row>
    <row r="37" spans="1:10" ht="12.75">
      <c r="A37" s="15">
        <v>65</v>
      </c>
      <c r="B37" s="16"/>
      <c r="C37" s="16"/>
      <c r="D37" s="17"/>
      <c r="E37" s="17"/>
      <c r="F37" s="17">
        <v>1040000</v>
      </c>
      <c r="G37" s="17"/>
      <c r="H37" s="17"/>
      <c r="I37" s="18"/>
      <c r="J37" s="19"/>
    </row>
    <row r="38" spans="1:10" ht="12.75">
      <c r="A38" s="15">
        <v>66</v>
      </c>
      <c r="B38" s="16"/>
      <c r="C38" s="16"/>
      <c r="D38" s="17">
        <v>3000000</v>
      </c>
      <c r="E38" s="17"/>
      <c r="F38" s="17"/>
      <c r="G38" s="17"/>
      <c r="H38" s="17">
        <v>300000</v>
      </c>
      <c r="I38" s="18"/>
      <c r="J38" s="19"/>
    </row>
    <row r="39" spans="1:10" ht="12.75">
      <c r="A39" s="15">
        <v>67</v>
      </c>
      <c r="B39" s="16">
        <v>9606655</v>
      </c>
      <c r="C39" s="16"/>
      <c r="D39" s="17"/>
      <c r="E39" s="17">
        <f>172694265+14677986+13961249</f>
        <v>201333500</v>
      </c>
      <c r="F39" s="17"/>
      <c r="G39" s="17"/>
      <c r="H39" s="17"/>
      <c r="I39" s="18"/>
      <c r="J39" s="19"/>
    </row>
    <row r="40" spans="1:10" ht="12.75">
      <c r="A40" s="15">
        <v>68</v>
      </c>
      <c r="B40" s="16"/>
      <c r="C40" s="16">
        <v>300000</v>
      </c>
      <c r="D40" s="17"/>
      <c r="E40" s="17"/>
      <c r="F40" s="17"/>
      <c r="G40" s="17"/>
      <c r="H40" s="17"/>
      <c r="I40" s="18">
        <v>10000</v>
      </c>
      <c r="J40" s="19"/>
    </row>
    <row r="41" spans="1:10" ht="13.5" thickBot="1">
      <c r="A41" s="15">
        <v>71</v>
      </c>
      <c r="B41" s="16"/>
      <c r="C41" s="16"/>
      <c r="D41" s="17"/>
      <c r="E41" s="17"/>
      <c r="F41" s="17"/>
      <c r="G41" s="17"/>
      <c r="H41" s="17"/>
      <c r="I41" s="18"/>
      <c r="J41" s="19"/>
    </row>
    <row r="42" spans="1:15" s="2" customFormat="1" ht="30" customHeight="1" thickBot="1">
      <c r="A42" s="20" t="s">
        <v>17</v>
      </c>
      <c r="B42" s="21">
        <f>SUM(B35:B41)</f>
        <v>9606655</v>
      </c>
      <c r="C42" s="21">
        <f aca="true" t="shared" si="2" ref="C42:J42">SUM(C35:C41)</f>
        <v>600000</v>
      </c>
      <c r="D42" s="21">
        <f t="shared" si="2"/>
        <v>3000000</v>
      </c>
      <c r="E42" s="21">
        <f t="shared" si="2"/>
        <v>201333500</v>
      </c>
      <c r="F42" s="21">
        <f t="shared" si="2"/>
        <v>1040000</v>
      </c>
      <c r="G42" s="21">
        <f t="shared" si="2"/>
        <v>11010000</v>
      </c>
      <c r="H42" s="21">
        <f t="shared" si="2"/>
        <v>300000</v>
      </c>
      <c r="I42" s="21">
        <f t="shared" si="2"/>
        <v>10000</v>
      </c>
      <c r="J42" s="22">
        <f t="shared" si="2"/>
        <v>0</v>
      </c>
      <c r="L42" s="182"/>
      <c r="M42" s="182"/>
      <c r="N42" s="182"/>
      <c r="O42" s="182"/>
    </row>
    <row r="43" spans="1:15" s="2" customFormat="1" ht="28.5" customHeight="1" thickBot="1">
      <c r="A43" s="20" t="s">
        <v>151</v>
      </c>
      <c r="B43" s="275">
        <f>SUM(B42:J42)</f>
        <v>226900155</v>
      </c>
      <c r="C43" s="276"/>
      <c r="D43" s="276"/>
      <c r="E43" s="276"/>
      <c r="F43" s="276"/>
      <c r="G43" s="276"/>
      <c r="H43" s="276"/>
      <c r="I43" s="276"/>
      <c r="J43" s="279"/>
      <c r="L43" s="182"/>
      <c r="M43" s="49"/>
      <c r="N43" s="49"/>
      <c r="O43" s="49"/>
    </row>
    <row r="44" spans="4:7" ht="13.5" customHeight="1">
      <c r="D44" s="27"/>
      <c r="E44" s="25"/>
      <c r="F44" s="25"/>
      <c r="G44" s="28"/>
    </row>
    <row r="45" spans="4:7" ht="13.5" customHeight="1">
      <c r="D45" s="27"/>
      <c r="E45" s="29"/>
      <c r="F45" s="218"/>
      <c r="G45" s="30"/>
    </row>
    <row r="46" spans="5:7" ht="13.5" customHeight="1">
      <c r="E46" s="31"/>
      <c r="F46" s="31"/>
      <c r="G46" s="32"/>
    </row>
    <row r="47" spans="5:7" ht="13.5" customHeight="1">
      <c r="E47" s="33"/>
      <c r="F47" s="33"/>
      <c r="G47" s="34"/>
    </row>
    <row r="48" spans="5:7" ht="13.5" customHeight="1">
      <c r="E48" s="25"/>
      <c r="F48" s="25"/>
      <c r="G48" s="26"/>
    </row>
    <row r="49" spans="4:7" ht="28.5" customHeight="1">
      <c r="D49" s="27"/>
      <c r="E49" s="25"/>
      <c r="F49" s="25"/>
      <c r="G49" s="35"/>
    </row>
    <row r="50" spans="4:7" ht="13.5" customHeight="1">
      <c r="D50" s="27"/>
      <c r="E50" s="25"/>
      <c r="F50" s="25"/>
      <c r="G50" s="30"/>
    </row>
    <row r="51" spans="5:7" ht="13.5" customHeight="1">
      <c r="E51" s="25"/>
      <c r="F51" s="25"/>
      <c r="G51" s="26"/>
    </row>
    <row r="52" spans="5:7" ht="13.5" customHeight="1">
      <c r="E52" s="25"/>
      <c r="F52" s="25"/>
      <c r="G52" s="34"/>
    </row>
    <row r="53" spans="5:7" ht="13.5" customHeight="1">
      <c r="E53" s="25"/>
      <c r="F53" s="25"/>
      <c r="G53" s="26"/>
    </row>
    <row r="54" spans="5:7" ht="22.5" customHeight="1">
      <c r="E54" s="25"/>
      <c r="F54" s="25"/>
      <c r="G54" s="36"/>
    </row>
    <row r="55" spans="5:7" ht="13.5" customHeight="1">
      <c r="E55" s="31"/>
      <c r="F55" s="31"/>
      <c r="G55" s="32"/>
    </row>
    <row r="56" spans="2:7" ht="13.5" customHeight="1">
      <c r="B56" s="27"/>
      <c r="C56" s="27"/>
      <c r="E56" s="31"/>
      <c r="F56" s="31"/>
      <c r="G56" s="37"/>
    </row>
    <row r="57" spans="4:7" ht="13.5" customHeight="1">
      <c r="D57" s="27"/>
      <c r="E57" s="31"/>
      <c r="F57" s="31"/>
      <c r="G57" s="38"/>
    </row>
    <row r="58" spans="4:7" ht="13.5" customHeight="1">
      <c r="D58" s="27"/>
      <c r="E58" s="33"/>
      <c r="F58" s="33"/>
      <c r="G58" s="30"/>
    </row>
    <row r="59" spans="5:7" ht="13.5" customHeight="1">
      <c r="E59" s="25"/>
      <c r="F59" s="25"/>
      <c r="G59" s="26"/>
    </row>
    <row r="60" spans="2:7" ht="13.5" customHeight="1">
      <c r="B60" s="27"/>
      <c r="C60" s="27"/>
      <c r="E60" s="25"/>
      <c r="F60" s="25"/>
      <c r="G60" s="28"/>
    </row>
    <row r="61" spans="4:7" ht="13.5" customHeight="1">
      <c r="D61" s="27"/>
      <c r="E61" s="25"/>
      <c r="F61" s="25"/>
      <c r="G61" s="37"/>
    </row>
    <row r="62" spans="4:7" ht="13.5" customHeight="1">
      <c r="D62" s="27"/>
      <c r="E62" s="33"/>
      <c r="F62" s="33"/>
      <c r="G62" s="30"/>
    </row>
    <row r="63" spans="5:7" ht="13.5" customHeight="1">
      <c r="E63" s="31"/>
      <c r="F63" s="31"/>
      <c r="G63" s="26"/>
    </row>
    <row r="64" spans="4:7" ht="13.5" customHeight="1">
      <c r="D64" s="27"/>
      <c r="E64" s="31"/>
      <c r="F64" s="31"/>
      <c r="G64" s="37"/>
    </row>
    <row r="65" spans="5:7" ht="22.5" customHeight="1">
      <c r="E65" s="33"/>
      <c r="F65" s="33"/>
      <c r="G65" s="36"/>
    </row>
    <row r="66" spans="5:7" ht="13.5" customHeight="1">
      <c r="E66" s="25"/>
      <c r="F66" s="25"/>
      <c r="G66" s="26"/>
    </row>
    <row r="67" spans="5:7" ht="13.5" customHeight="1">
      <c r="E67" s="33"/>
      <c r="F67" s="33"/>
      <c r="G67" s="30"/>
    </row>
    <row r="68" spans="5:7" ht="13.5" customHeight="1">
      <c r="E68" s="25"/>
      <c r="F68" s="25"/>
      <c r="G68" s="26"/>
    </row>
    <row r="69" spans="5:7" ht="13.5" customHeight="1">
      <c r="E69" s="25"/>
      <c r="F69" s="25"/>
      <c r="G69" s="26"/>
    </row>
    <row r="70" spans="1:7" ht="13.5" customHeight="1">
      <c r="A70" s="27"/>
      <c r="E70" s="39"/>
      <c r="F70" s="39"/>
      <c r="G70" s="37"/>
    </row>
    <row r="71" spans="2:7" ht="13.5" customHeight="1">
      <c r="B71" s="27"/>
      <c r="C71" s="27"/>
      <c r="D71" s="27"/>
      <c r="E71" s="40"/>
      <c r="F71" s="40"/>
      <c r="G71" s="37"/>
    </row>
    <row r="72" spans="2:7" ht="13.5" customHeight="1">
      <c r="B72" s="27"/>
      <c r="C72" s="27"/>
      <c r="D72" s="27"/>
      <c r="E72" s="40"/>
      <c r="F72" s="40"/>
      <c r="G72" s="28"/>
    </row>
    <row r="73" spans="2:7" ht="13.5" customHeight="1">
      <c r="B73" s="27"/>
      <c r="C73" s="27"/>
      <c r="D73" s="27"/>
      <c r="E73" s="33"/>
      <c r="F73" s="33"/>
      <c r="G73" s="34"/>
    </row>
    <row r="74" spans="5:7" ht="12.75">
      <c r="E74" s="25"/>
      <c r="F74" s="25"/>
      <c r="G74" s="26"/>
    </row>
    <row r="75" spans="2:7" ht="12.75">
      <c r="B75" s="27"/>
      <c r="C75" s="27"/>
      <c r="E75" s="25"/>
      <c r="F75" s="25"/>
      <c r="G75" s="37"/>
    </row>
    <row r="76" spans="4:7" ht="12.75">
      <c r="D76" s="27"/>
      <c r="E76" s="25"/>
      <c r="F76" s="25"/>
      <c r="G76" s="28"/>
    </row>
    <row r="77" spans="4:7" ht="12.75">
      <c r="D77" s="27"/>
      <c r="E77" s="33"/>
      <c r="F77" s="33"/>
      <c r="G77" s="30"/>
    </row>
    <row r="78" spans="5:7" ht="12.75">
      <c r="E78" s="25"/>
      <c r="F78" s="25"/>
      <c r="G78" s="26"/>
    </row>
    <row r="79" spans="5:7" ht="12.75">
      <c r="E79" s="25"/>
      <c r="F79" s="25"/>
      <c r="G79" s="26"/>
    </row>
    <row r="80" spans="5:7" ht="12.75">
      <c r="E80" s="41"/>
      <c r="F80" s="41"/>
      <c r="G80" s="42"/>
    </row>
    <row r="81" spans="5:7" ht="12.75">
      <c r="E81" s="25"/>
      <c r="F81" s="25"/>
      <c r="G81" s="26"/>
    </row>
    <row r="82" spans="5:7" ht="12.75">
      <c r="E82" s="25"/>
      <c r="F82" s="25"/>
      <c r="G82" s="26"/>
    </row>
    <row r="83" spans="5:7" ht="12.75">
      <c r="E83" s="25"/>
      <c r="F83" s="25"/>
      <c r="G83" s="26"/>
    </row>
    <row r="84" spans="5:7" ht="12.75">
      <c r="E84" s="33"/>
      <c r="F84" s="33"/>
      <c r="G84" s="30"/>
    </row>
    <row r="85" spans="5:7" ht="12.75">
      <c r="E85" s="25"/>
      <c r="F85" s="25"/>
      <c r="G85" s="26"/>
    </row>
    <row r="86" spans="5:7" ht="12.75">
      <c r="E86" s="33"/>
      <c r="F86" s="33"/>
      <c r="G86" s="30"/>
    </row>
    <row r="87" spans="5:7" ht="12.75">
      <c r="E87" s="25"/>
      <c r="F87" s="25"/>
      <c r="G87" s="26"/>
    </row>
    <row r="88" spans="5:7" ht="12.75">
      <c r="E88" s="25"/>
      <c r="F88" s="25"/>
      <c r="G88" s="26"/>
    </row>
    <row r="89" spans="5:7" ht="12.75">
      <c r="E89" s="25"/>
      <c r="F89" s="25"/>
      <c r="G89" s="26"/>
    </row>
    <row r="90" spans="5:7" ht="12.75">
      <c r="E90" s="25"/>
      <c r="F90" s="25"/>
      <c r="G90" s="26"/>
    </row>
    <row r="91" spans="1:7" ht="28.5" customHeight="1">
      <c r="A91" s="43"/>
      <c r="B91" s="43"/>
      <c r="C91" s="43"/>
      <c r="D91" s="43"/>
      <c r="E91" s="44"/>
      <c r="F91" s="44"/>
      <c r="G91" s="45"/>
    </row>
    <row r="92" spans="4:7" ht="12.75">
      <c r="D92" s="27"/>
      <c r="E92" s="25"/>
      <c r="F92" s="25"/>
      <c r="G92" s="28"/>
    </row>
    <row r="93" spans="5:7" ht="12.75">
      <c r="E93" s="46"/>
      <c r="F93" s="46"/>
      <c r="G93" s="47"/>
    </row>
    <row r="94" spans="5:7" ht="12.75">
      <c r="E94" s="25"/>
      <c r="F94" s="25"/>
      <c r="G94" s="26"/>
    </row>
    <row r="95" spans="5:7" ht="12.75">
      <c r="E95" s="41"/>
      <c r="F95" s="41"/>
      <c r="G95" s="42"/>
    </row>
    <row r="96" spans="5:7" ht="12.75">
      <c r="E96" s="41"/>
      <c r="F96" s="41"/>
      <c r="G96" s="42"/>
    </row>
    <row r="97" spans="5:7" ht="12.75">
      <c r="E97" s="25"/>
      <c r="F97" s="25"/>
      <c r="G97" s="26"/>
    </row>
    <row r="98" spans="5:7" ht="12.75">
      <c r="E98" s="33"/>
      <c r="F98" s="33"/>
      <c r="G98" s="30"/>
    </row>
    <row r="99" spans="5:7" ht="12.75">
      <c r="E99" s="25"/>
      <c r="F99" s="25"/>
      <c r="G99" s="26"/>
    </row>
    <row r="100" spans="5:7" ht="12.75">
      <c r="E100" s="25"/>
      <c r="F100" s="25"/>
      <c r="G100" s="26"/>
    </row>
    <row r="101" spans="5:7" ht="12.75">
      <c r="E101" s="33"/>
      <c r="F101" s="33"/>
      <c r="G101" s="30"/>
    </row>
    <row r="102" spans="5:7" ht="12.75">
      <c r="E102" s="25"/>
      <c r="F102" s="25"/>
      <c r="G102" s="26"/>
    </row>
    <row r="103" spans="5:7" ht="12.75">
      <c r="E103" s="41"/>
      <c r="F103" s="41"/>
      <c r="G103" s="42"/>
    </row>
    <row r="104" spans="5:7" ht="12.75">
      <c r="E104" s="33"/>
      <c r="F104" s="33"/>
      <c r="G104" s="47"/>
    </row>
    <row r="105" spans="5:7" ht="12.75">
      <c r="E105" s="31"/>
      <c r="F105" s="31"/>
      <c r="G105" s="42"/>
    </row>
    <row r="106" spans="5:7" ht="12.75">
      <c r="E106" s="33"/>
      <c r="F106" s="33"/>
      <c r="G106" s="30"/>
    </row>
    <row r="107" spans="5:7" ht="12.75">
      <c r="E107" s="25"/>
      <c r="F107" s="25"/>
      <c r="G107" s="26"/>
    </row>
    <row r="108" spans="4:7" ht="12.75">
      <c r="D108" s="27"/>
      <c r="E108" s="25"/>
      <c r="F108" s="25"/>
      <c r="G108" s="28"/>
    </row>
    <row r="109" spans="5:7" ht="12.75">
      <c r="E109" s="31"/>
      <c r="F109" s="31"/>
      <c r="G109" s="30"/>
    </row>
    <row r="110" spans="5:7" ht="12.75">
      <c r="E110" s="31"/>
      <c r="F110" s="31"/>
      <c r="G110" s="42"/>
    </row>
    <row r="111" spans="4:7" ht="12.75">
      <c r="D111" s="27"/>
      <c r="E111" s="31"/>
      <c r="F111" s="31"/>
      <c r="G111" s="48"/>
    </row>
    <row r="112" spans="4:7" ht="12.75">
      <c r="D112" s="27"/>
      <c r="E112" s="33"/>
      <c r="F112" s="33"/>
      <c r="G112" s="34"/>
    </row>
    <row r="113" spans="5:7" ht="12.75">
      <c r="E113" s="25"/>
      <c r="F113" s="25"/>
      <c r="G113" s="26"/>
    </row>
    <row r="114" spans="5:7" ht="12.75">
      <c r="E114" s="46"/>
      <c r="F114" s="46"/>
      <c r="G114" s="49"/>
    </row>
    <row r="115" spans="5:7" ht="11.25" customHeight="1">
      <c r="E115" s="41"/>
      <c r="F115" s="41"/>
      <c r="G115" s="42"/>
    </row>
    <row r="116" spans="2:7" ht="24" customHeight="1">
      <c r="B116" s="27"/>
      <c r="C116" s="27"/>
      <c r="E116" s="41"/>
      <c r="F116" s="41"/>
      <c r="G116" s="50"/>
    </row>
    <row r="117" spans="4:7" ht="15" customHeight="1">
      <c r="D117" s="27"/>
      <c r="E117" s="41"/>
      <c r="F117" s="41"/>
      <c r="G117" s="50"/>
    </row>
    <row r="118" spans="5:7" ht="11.25" customHeight="1">
      <c r="E118" s="46"/>
      <c r="F118" s="46"/>
      <c r="G118" s="47"/>
    </row>
    <row r="119" spans="5:7" ht="12.75">
      <c r="E119" s="41"/>
      <c r="F119" s="41"/>
      <c r="G119" s="42"/>
    </row>
    <row r="120" spans="2:7" ht="13.5" customHeight="1">
      <c r="B120" s="27"/>
      <c r="C120" s="27"/>
      <c r="E120" s="41"/>
      <c r="F120" s="41"/>
      <c r="G120" s="51"/>
    </row>
    <row r="121" spans="4:7" ht="12.75" customHeight="1">
      <c r="D121" s="27"/>
      <c r="E121" s="41"/>
      <c r="F121" s="41"/>
      <c r="G121" s="28"/>
    </row>
    <row r="122" spans="4:7" ht="12.75" customHeight="1">
      <c r="D122" s="27"/>
      <c r="E122" s="33"/>
      <c r="F122" s="33"/>
      <c r="G122" s="34"/>
    </row>
    <row r="123" spans="5:7" ht="12.75">
      <c r="E123" s="25"/>
      <c r="F123" s="25"/>
      <c r="G123" s="26"/>
    </row>
    <row r="124" spans="4:7" ht="12.75">
      <c r="D124" s="27"/>
      <c r="E124" s="25"/>
      <c r="F124" s="25"/>
      <c r="G124" s="48"/>
    </row>
    <row r="125" spans="5:7" ht="12.75">
      <c r="E125" s="46"/>
      <c r="F125" s="46"/>
      <c r="G125" s="47"/>
    </row>
    <row r="126" spans="5:7" ht="12.75">
      <c r="E126" s="41"/>
      <c r="F126" s="41"/>
      <c r="G126" s="42"/>
    </row>
    <row r="127" spans="5:7" ht="12.75">
      <c r="E127" s="25"/>
      <c r="F127" s="25"/>
      <c r="G127" s="26"/>
    </row>
    <row r="128" spans="1:7" ht="19.5" customHeight="1">
      <c r="A128" s="52"/>
      <c r="B128" s="11"/>
      <c r="C128" s="11"/>
      <c r="D128" s="11"/>
      <c r="E128" s="11"/>
      <c r="F128" s="11"/>
      <c r="G128" s="37"/>
    </row>
    <row r="129" spans="1:7" ht="15" customHeight="1">
      <c r="A129" s="27"/>
      <c r="E129" s="39"/>
      <c r="F129" s="39"/>
      <c r="G129" s="37"/>
    </row>
    <row r="130" spans="1:7" ht="12.75">
      <c r="A130" s="27"/>
      <c r="B130" s="27"/>
      <c r="C130" s="27"/>
      <c r="E130" s="39"/>
      <c r="F130" s="39"/>
      <c r="G130" s="28"/>
    </row>
    <row r="131" spans="4:7" ht="12.75">
      <c r="D131" s="27"/>
      <c r="E131" s="25"/>
      <c r="F131" s="25"/>
      <c r="G131" s="37"/>
    </row>
    <row r="132" spans="5:7" ht="12.75">
      <c r="E132" s="29"/>
      <c r="F132" s="29"/>
      <c r="G132" s="30"/>
    </row>
    <row r="133" spans="2:7" ht="12.75">
      <c r="B133" s="27"/>
      <c r="C133" s="27"/>
      <c r="E133" s="25"/>
      <c r="F133" s="25"/>
      <c r="G133" s="28"/>
    </row>
    <row r="134" spans="4:7" ht="12.75">
      <c r="D134" s="27"/>
      <c r="E134" s="25"/>
      <c r="F134" s="25"/>
      <c r="G134" s="28"/>
    </row>
    <row r="135" spans="5:7" ht="12.75">
      <c r="E135" s="33"/>
      <c r="F135" s="33"/>
      <c r="G135" s="34"/>
    </row>
    <row r="136" spans="4:7" ht="22.5" customHeight="1">
      <c r="D136" s="27"/>
      <c r="E136" s="25"/>
      <c r="F136" s="25"/>
      <c r="G136" s="35"/>
    </row>
    <row r="137" spans="5:7" ht="12.75">
      <c r="E137" s="25"/>
      <c r="F137" s="25"/>
      <c r="G137" s="34"/>
    </row>
    <row r="138" spans="2:7" ht="12.75">
      <c r="B138" s="27"/>
      <c r="C138" s="27"/>
      <c r="E138" s="31"/>
      <c r="F138" s="31"/>
      <c r="G138" s="37"/>
    </row>
    <row r="139" spans="4:7" ht="12.75">
      <c r="D139" s="27"/>
      <c r="E139" s="31"/>
      <c r="F139" s="31"/>
      <c r="G139" s="38"/>
    </row>
    <row r="140" spans="5:7" ht="12.75">
      <c r="E140" s="33"/>
      <c r="F140" s="33"/>
      <c r="G140" s="30"/>
    </row>
    <row r="141" spans="1:7" ht="13.5" customHeight="1">
      <c r="A141" s="27"/>
      <c r="E141" s="39"/>
      <c r="F141" s="39"/>
      <c r="G141" s="37"/>
    </row>
    <row r="142" spans="2:7" ht="13.5" customHeight="1">
      <c r="B142" s="27"/>
      <c r="C142" s="27"/>
      <c r="E142" s="25"/>
      <c r="F142" s="25"/>
      <c r="G142" s="37"/>
    </row>
    <row r="143" spans="4:7" ht="13.5" customHeight="1">
      <c r="D143" s="27"/>
      <c r="E143" s="25"/>
      <c r="F143" s="25"/>
      <c r="G143" s="28"/>
    </row>
    <row r="144" spans="4:7" ht="12.75">
      <c r="D144" s="27"/>
      <c r="E144" s="33"/>
      <c r="F144" s="33"/>
      <c r="G144" s="30"/>
    </row>
    <row r="145" spans="4:7" ht="12.75">
      <c r="D145" s="27"/>
      <c r="E145" s="25"/>
      <c r="F145" s="25"/>
      <c r="G145" s="28"/>
    </row>
    <row r="146" spans="5:7" ht="12.75">
      <c r="E146" s="46"/>
      <c r="F146" s="46"/>
      <c r="G146" s="47"/>
    </row>
    <row r="147" spans="4:7" ht="12.75">
      <c r="D147" s="27"/>
      <c r="E147" s="31"/>
      <c r="F147" s="31"/>
      <c r="G147" s="48"/>
    </row>
    <row r="148" spans="4:7" ht="12.75">
      <c r="D148" s="27"/>
      <c r="E148" s="33"/>
      <c r="F148" s="33"/>
      <c r="G148" s="34"/>
    </row>
    <row r="149" spans="5:7" ht="12.75">
      <c r="E149" s="46"/>
      <c r="F149" s="46"/>
      <c r="G149" s="53"/>
    </row>
    <row r="150" spans="2:7" ht="12.75">
      <c r="B150" s="27"/>
      <c r="C150" s="27"/>
      <c r="E150" s="41"/>
      <c r="F150" s="41"/>
      <c r="G150" s="51"/>
    </row>
    <row r="151" spans="4:7" ht="12.75">
      <c r="D151" s="27"/>
      <c r="E151" s="41"/>
      <c r="F151" s="41"/>
      <c r="G151" s="28"/>
    </row>
    <row r="152" spans="4:7" ht="12.75">
      <c r="D152" s="27"/>
      <c r="E152" s="33"/>
      <c r="F152" s="33"/>
      <c r="G152" s="34"/>
    </row>
    <row r="153" spans="4:7" ht="12.75">
      <c r="D153" s="27"/>
      <c r="E153" s="33"/>
      <c r="F153" s="33"/>
      <c r="G153" s="34"/>
    </row>
    <row r="154" spans="5:7" ht="12.75">
      <c r="E154" s="25"/>
      <c r="F154" s="25"/>
      <c r="G154" s="26"/>
    </row>
    <row r="155" spans="1:15" s="54" customFormat="1" ht="18" customHeight="1">
      <c r="A155" s="277"/>
      <c r="B155" s="278"/>
      <c r="C155" s="278"/>
      <c r="D155" s="278"/>
      <c r="E155" s="278"/>
      <c r="F155" s="278"/>
      <c r="G155" s="278"/>
      <c r="L155" s="183"/>
      <c r="M155" s="183"/>
      <c r="N155" s="183"/>
      <c r="O155" s="183"/>
    </row>
    <row r="156" spans="1:7" ht="28.5" customHeight="1">
      <c r="A156" s="43"/>
      <c r="B156" s="43"/>
      <c r="C156" s="43"/>
      <c r="D156" s="43"/>
      <c r="E156" s="44"/>
      <c r="F156" s="44"/>
      <c r="G156" s="45"/>
    </row>
    <row r="158" spans="1:7" ht="15.75">
      <c r="A158" s="56"/>
      <c r="B158" s="27"/>
      <c r="C158" s="27"/>
      <c r="D158" s="27"/>
      <c r="E158" s="57"/>
      <c r="F158" s="57"/>
      <c r="G158" s="10"/>
    </row>
    <row r="159" spans="1:7" ht="12.75">
      <c r="A159" s="27"/>
      <c r="B159" s="27"/>
      <c r="C159" s="27"/>
      <c r="D159" s="27"/>
      <c r="E159" s="57"/>
      <c r="F159" s="57"/>
      <c r="G159" s="10"/>
    </row>
    <row r="160" spans="1:7" ht="17.25" customHeight="1">
      <c r="A160" s="27"/>
      <c r="B160" s="27"/>
      <c r="C160" s="27"/>
      <c r="D160" s="27"/>
      <c r="E160" s="57"/>
      <c r="F160" s="57"/>
      <c r="G160" s="10"/>
    </row>
    <row r="161" spans="1:7" ht="13.5" customHeight="1">
      <c r="A161" s="27"/>
      <c r="B161" s="27"/>
      <c r="C161" s="27"/>
      <c r="D161" s="27"/>
      <c r="E161" s="57"/>
      <c r="F161" s="57"/>
      <c r="G161" s="10"/>
    </row>
    <row r="162" spans="1:7" ht="12.75">
      <c r="A162" s="27"/>
      <c r="B162" s="27"/>
      <c r="C162" s="27"/>
      <c r="D162" s="27"/>
      <c r="E162" s="57"/>
      <c r="F162" s="57"/>
      <c r="G162" s="10"/>
    </row>
    <row r="163" spans="1:4" ht="12.75">
      <c r="A163" s="27"/>
      <c r="B163" s="27"/>
      <c r="C163" s="27"/>
      <c r="D163" s="27"/>
    </row>
    <row r="164" spans="1:7" ht="12.75">
      <c r="A164" s="27"/>
      <c r="B164" s="27"/>
      <c r="C164" s="27"/>
      <c r="D164" s="27"/>
      <c r="E164" s="57"/>
      <c r="F164" s="57"/>
      <c r="G164" s="10"/>
    </row>
    <row r="165" spans="1:7" ht="12.75">
      <c r="A165" s="27"/>
      <c r="B165" s="27"/>
      <c r="C165" s="27"/>
      <c r="D165" s="27"/>
      <c r="E165" s="57"/>
      <c r="F165" s="57"/>
      <c r="G165" s="58"/>
    </row>
    <row r="166" spans="1:7" ht="12.75">
      <c r="A166" s="27"/>
      <c r="B166" s="27"/>
      <c r="C166" s="27"/>
      <c r="D166" s="27"/>
      <c r="E166" s="57"/>
      <c r="F166" s="57"/>
      <c r="G166" s="10"/>
    </row>
    <row r="167" spans="1:7" ht="22.5" customHeight="1">
      <c r="A167" s="27"/>
      <c r="B167" s="27"/>
      <c r="C167" s="27"/>
      <c r="D167" s="27"/>
      <c r="E167" s="57"/>
      <c r="F167" s="57"/>
      <c r="G167" s="35"/>
    </row>
    <row r="168" spans="5:7" ht="22.5" customHeight="1">
      <c r="E168" s="33"/>
      <c r="F168" s="33"/>
      <c r="G168" s="36"/>
    </row>
  </sheetData>
  <sheetProtection/>
  <mergeCells count="8">
    <mergeCell ref="A1:J1"/>
    <mergeCell ref="B19:J19"/>
    <mergeCell ref="B21:J21"/>
    <mergeCell ref="B31:J31"/>
    <mergeCell ref="B33:J33"/>
    <mergeCell ref="A155:G155"/>
    <mergeCell ref="B3:J3"/>
    <mergeCell ref="B43:J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20" max="9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28125" style="97" customWidth="1"/>
    <col min="2" max="2" width="38.28125" style="106" customWidth="1"/>
    <col min="3" max="4" width="15.57421875" style="176" customWidth="1"/>
    <col min="5" max="7" width="15.140625" style="106" customWidth="1"/>
    <col min="8" max="8" width="16.00390625" style="106" customWidth="1"/>
    <col min="9" max="9" width="15.140625" style="106" customWidth="1"/>
    <col min="10" max="10" width="11.8515625" style="106" customWidth="1"/>
    <col min="11" max="11" width="15.140625" style="106" customWidth="1"/>
    <col min="12" max="12" width="13.28125" style="106" customWidth="1"/>
    <col min="13" max="13" width="15.140625" style="106" customWidth="1"/>
    <col min="14" max="14" width="15.57421875" style="106" customWidth="1"/>
    <col min="15" max="15" width="16.7109375" style="106" hidden="1" customWidth="1"/>
    <col min="16" max="16" width="16.421875" style="106" hidden="1" customWidth="1"/>
    <col min="17" max="17" width="0.42578125" style="106" hidden="1" customWidth="1"/>
    <col min="18" max="19" width="16.00390625" style="106" hidden="1" customWidth="1"/>
    <col min="20" max="20" width="13.7109375" style="106" customWidth="1"/>
    <col min="21" max="21" width="16.00390625" style="106" customWidth="1"/>
    <col min="22" max="22" width="13.7109375" style="106" customWidth="1"/>
    <col min="23" max="23" width="16.28125" style="106" customWidth="1"/>
    <col min="24" max="24" width="11.7109375" style="106" customWidth="1"/>
    <col min="25" max="25" width="13.140625" style="106" customWidth="1"/>
    <col min="26" max="26" width="12.00390625" style="106" customWidth="1"/>
    <col min="27" max="27" width="13.8515625" style="106" customWidth="1"/>
    <col min="28" max="28" width="14.8515625" style="106" customWidth="1"/>
    <col min="29" max="16384" width="9.140625" style="106" customWidth="1"/>
  </cols>
  <sheetData>
    <row r="1" spans="1:14" s="97" customFormat="1" ht="16.5" customHeight="1">
      <c r="A1" s="280" t="s">
        <v>146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9" s="115" customFormat="1" ht="58.5" customHeight="1">
      <c r="A2" s="110" t="s">
        <v>18</v>
      </c>
      <c r="B2" s="110" t="s">
        <v>19</v>
      </c>
      <c r="C2" s="67" t="s">
        <v>147</v>
      </c>
      <c r="D2" s="111" t="s">
        <v>47</v>
      </c>
      <c r="E2" s="111" t="s">
        <v>48</v>
      </c>
      <c r="F2" s="112" t="s">
        <v>12</v>
      </c>
      <c r="G2" s="111" t="s">
        <v>49</v>
      </c>
      <c r="H2" s="111" t="s">
        <v>50</v>
      </c>
      <c r="I2" s="112" t="s">
        <v>13</v>
      </c>
      <c r="J2" s="112" t="s">
        <v>20</v>
      </c>
      <c r="K2" s="112" t="s">
        <v>15</v>
      </c>
      <c r="L2" s="112" t="s">
        <v>16</v>
      </c>
      <c r="M2" s="67" t="s">
        <v>41</v>
      </c>
      <c r="N2" s="67" t="s">
        <v>148</v>
      </c>
      <c r="O2" s="113"/>
      <c r="P2" s="113"/>
      <c r="Q2" s="114" t="s">
        <v>51</v>
      </c>
      <c r="R2" s="114" t="s">
        <v>52</v>
      </c>
      <c r="S2" s="114" t="s">
        <v>53</v>
      </c>
    </row>
    <row r="3" spans="1:16" s="119" customFormat="1" ht="12.75" customHeight="1">
      <c r="A3" s="98"/>
      <c r="B3" s="98" t="s">
        <v>135</v>
      </c>
      <c r="C3" s="99"/>
      <c r="D3" s="116">
        <v>671</v>
      </c>
      <c r="E3" s="116" t="s">
        <v>136</v>
      </c>
      <c r="F3" s="209">
        <v>661</v>
      </c>
      <c r="G3" s="117">
        <v>673</v>
      </c>
      <c r="H3" s="117">
        <v>652</v>
      </c>
      <c r="I3" s="209" t="s">
        <v>137</v>
      </c>
      <c r="J3" s="209">
        <v>663</v>
      </c>
      <c r="K3" s="209">
        <v>711</v>
      </c>
      <c r="L3" s="209"/>
      <c r="M3" s="210"/>
      <c r="N3" s="211"/>
      <c r="O3" s="118"/>
      <c r="P3" s="118"/>
    </row>
    <row r="4" spans="1:16" s="119" customFormat="1" ht="14.25" customHeight="1">
      <c r="A4" s="100"/>
      <c r="B4" s="190" t="s">
        <v>46</v>
      </c>
      <c r="C4" s="101"/>
      <c r="D4" s="116"/>
      <c r="F4" s="101"/>
      <c r="G4" s="117"/>
      <c r="H4" s="117"/>
      <c r="I4" s="101"/>
      <c r="J4" s="101"/>
      <c r="K4" s="101"/>
      <c r="L4" s="101"/>
      <c r="M4" s="101"/>
      <c r="N4" s="120"/>
      <c r="O4" s="118"/>
      <c r="P4" s="118"/>
    </row>
    <row r="5" spans="1:16" s="226" customFormat="1" ht="14.25" customHeight="1">
      <c r="A5" s="223"/>
      <c r="B5" s="224" t="s">
        <v>54</v>
      </c>
      <c r="C5" s="224"/>
      <c r="D5" s="225"/>
      <c r="F5" s="224"/>
      <c r="G5" s="227"/>
      <c r="H5" s="227"/>
      <c r="I5" s="224"/>
      <c r="J5" s="224"/>
      <c r="K5" s="224"/>
      <c r="L5" s="224"/>
      <c r="M5" s="224"/>
      <c r="N5" s="228"/>
      <c r="O5" s="229"/>
      <c r="P5" s="229"/>
    </row>
    <row r="6" spans="1:16" s="226" customFormat="1" ht="15" customHeight="1">
      <c r="A6" s="230" t="s">
        <v>33</v>
      </c>
      <c r="B6" s="224" t="s">
        <v>55</v>
      </c>
      <c r="C6" s="224"/>
      <c r="D6" s="225"/>
      <c r="F6" s="224"/>
      <c r="G6" s="227"/>
      <c r="H6" s="227"/>
      <c r="I6" s="224"/>
      <c r="J6" s="224"/>
      <c r="K6" s="224"/>
      <c r="L6" s="224"/>
      <c r="M6" s="224"/>
      <c r="N6" s="228"/>
      <c r="O6" s="229"/>
      <c r="P6" s="229"/>
    </row>
    <row r="7" spans="1:23" s="119" customFormat="1" ht="14.25" customHeight="1">
      <c r="A7" s="121">
        <v>3</v>
      </c>
      <c r="B7" s="122" t="s">
        <v>56</v>
      </c>
      <c r="C7" s="123">
        <f aca="true" t="shared" si="0" ref="C7:H7">C8+C16+C46+C50+C59</f>
        <v>216028884.75</v>
      </c>
      <c r="D7" s="123">
        <f t="shared" si="0"/>
        <v>0</v>
      </c>
      <c r="E7" s="123">
        <f t="shared" si="0"/>
        <v>611500</v>
      </c>
      <c r="F7" s="123">
        <f t="shared" si="0"/>
        <v>2700000</v>
      </c>
      <c r="G7" s="123">
        <f t="shared" si="0"/>
        <v>200358145.75</v>
      </c>
      <c r="H7" s="123">
        <f t="shared" si="0"/>
        <v>1039239</v>
      </c>
      <c r="I7" s="123">
        <f>I8+I16+I46+I50</f>
        <v>0</v>
      </c>
      <c r="J7" s="123">
        <f>J8+J16+J46+J50+J59</f>
        <v>300000</v>
      </c>
      <c r="K7" s="123">
        <f>K8+K16+K46+K50+K59</f>
        <v>10000</v>
      </c>
      <c r="L7" s="123">
        <f>L8+L16+L46+L50+L59</f>
        <v>0</v>
      </c>
      <c r="M7" s="123">
        <f>M8+M16+M46+M50+M59</f>
        <v>216593500</v>
      </c>
      <c r="N7" s="123">
        <f>N8+N16+N46+N50+N59</f>
        <v>217293500</v>
      </c>
      <c r="O7" s="118"/>
      <c r="P7" s="118"/>
      <c r="T7" s="240"/>
      <c r="U7" s="240"/>
      <c r="V7" s="240"/>
      <c r="W7" s="240"/>
    </row>
    <row r="8" spans="1:28" ht="14.25" customHeight="1">
      <c r="A8" s="124">
        <v>31</v>
      </c>
      <c r="B8" s="125" t="s">
        <v>21</v>
      </c>
      <c r="C8" s="102">
        <f>C9+C11+C13</f>
        <v>143115000</v>
      </c>
      <c r="D8" s="102">
        <f aca="true" t="shared" si="1" ref="D8:L8">D9+D11+D13</f>
        <v>0</v>
      </c>
      <c r="E8" s="102">
        <f t="shared" si="1"/>
        <v>0</v>
      </c>
      <c r="F8" s="102">
        <f t="shared" si="1"/>
        <v>2700000</v>
      </c>
      <c r="G8" s="102">
        <f t="shared" si="1"/>
        <v>140415000</v>
      </c>
      <c r="H8" s="102">
        <f t="shared" si="1"/>
        <v>0</v>
      </c>
      <c r="I8" s="102">
        <f t="shared" si="1"/>
        <v>0</v>
      </c>
      <c r="J8" s="102">
        <f t="shared" si="1"/>
        <v>0</v>
      </c>
      <c r="K8" s="102">
        <f t="shared" si="1"/>
        <v>0</v>
      </c>
      <c r="L8" s="102">
        <f t="shared" si="1"/>
        <v>0</v>
      </c>
      <c r="M8" s="102">
        <v>143812000</v>
      </c>
      <c r="N8" s="126">
        <v>144512000</v>
      </c>
      <c r="O8" s="127">
        <f>SUM(O10:O12)</f>
        <v>0</v>
      </c>
      <c r="P8" s="127">
        <f>SUM(P10:P12)</f>
        <v>0</v>
      </c>
      <c r="T8" s="208"/>
      <c r="U8" s="241"/>
      <c r="V8" s="241"/>
      <c r="W8" s="241"/>
      <c r="Y8" s="242"/>
      <c r="Z8" s="242"/>
      <c r="AA8" s="242"/>
      <c r="AB8" s="243"/>
    </row>
    <row r="9" spans="1:28" ht="15" customHeight="1">
      <c r="A9" s="124">
        <v>311</v>
      </c>
      <c r="B9" s="125" t="s">
        <v>57</v>
      </c>
      <c r="C9" s="102">
        <f>C10</f>
        <v>120060000</v>
      </c>
      <c r="D9" s="102">
        <f aca="true" t="shared" si="2" ref="D9:L9">D10</f>
        <v>0</v>
      </c>
      <c r="E9" s="102">
        <f t="shared" si="2"/>
        <v>0</v>
      </c>
      <c r="F9" s="102">
        <f t="shared" si="2"/>
        <v>2700000</v>
      </c>
      <c r="G9" s="102">
        <f t="shared" si="2"/>
        <v>117360000</v>
      </c>
      <c r="H9" s="102">
        <f t="shared" si="2"/>
        <v>0</v>
      </c>
      <c r="I9" s="102">
        <f t="shared" si="2"/>
        <v>0</v>
      </c>
      <c r="J9" s="102">
        <f t="shared" si="2"/>
        <v>0</v>
      </c>
      <c r="K9" s="102">
        <f t="shared" si="2"/>
        <v>0</v>
      </c>
      <c r="L9" s="102">
        <f t="shared" si="2"/>
        <v>0</v>
      </c>
      <c r="M9" s="102"/>
      <c r="N9" s="126"/>
      <c r="O9" s="127"/>
      <c r="P9" s="127"/>
      <c r="T9" s="208"/>
      <c r="U9" s="208"/>
      <c r="V9" s="241"/>
      <c r="W9" s="241"/>
      <c r="Y9" s="242"/>
      <c r="Z9" s="242"/>
      <c r="AA9" s="242"/>
      <c r="AB9" s="243"/>
    </row>
    <row r="10" spans="1:28" ht="0.75" customHeight="1">
      <c r="A10" s="128">
        <v>3111</v>
      </c>
      <c r="B10" s="129" t="s">
        <v>58</v>
      </c>
      <c r="C10" s="130">
        <f>+SUM(D10:L10)</f>
        <v>120060000</v>
      </c>
      <c r="D10" s="130">
        <v>0</v>
      </c>
      <c r="E10" s="130"/>
      <c r="F10" s="130">
        <v>2700000</v>
      </c>
      <c r="G10" s="130">
        <f>120060000-2700000</f>
        <v>117360000</v>
      </c>
      <c r="H10" s="130"/>
      <c r="I10" s="130"/>
      <c r="J10" s="130"/>
      <c r="K10" s="130"/>
      <c r="L10" s="130"/>
      <c r="M10" s="130"/>
      <c r="N10" s="131"/>
      <c r="O10" s="106">
        <v>0</v>
      </c>
      <c r="P10" s="106">
        <v>0</v>
      </c>
      <c r="Q10" s="106">
        <v>114767580</v>
      </c>
      <c r="R10" s="106">
        <f>C89+C103+C114</f>
        <v>558874</v>
      </c>
      <c r="S10" s="106">
        <f>Q10-R10-C10</f>
        <v>-5851294</v>
      </c>
      <c r="T10" s="208"/>
      <c r="U10" s="208"/>
      <c r="V10" s="208"/>
      <c r="W10" s="208"/>
      <c r="Y10" s="242"/>
      <c r="Z10" s="242"/>
      <c r="AA10" s="242"/>
      <c r="AB10" s="243"/>
    </row>
    <row r="11" spans="1:28" s="127" customFormat="1" ht="13.5" customHeight="1">
      <c r="A11" s="132">
        <v>312</v>
      </c>
      <c r="B11" s="133" t="s">
        <v>59</v>
      </c>
      <c r="C11" s="134">
        <f>C12</f>
        <v>3710000</v>
      </c>
      <c r="D11" s="134">
        <f aca="true" t="shared" si="3" ref="D11:L11">D12</f>
        <v>0</v>
      </c>
      <c r="E11" s="134">
        <f t="shared" si="3"/>
        <v>0</v>
      </c>
      <c r="F11" s="134">
        <f t="shared" si="3"/>
        <v>0</v>
      </c>
      <c r="G11" s="134">
        <f>G12</f>
        <v>3710000</v>
      </c>
      <c r="H11" s="134">
        <f>H12</f>
        <v>0</v>
      </c>
      <c r="I11" s="134">
        <f t="shared" si="3"/>
        <v>0</v>
      </c>
      <c r="J11" s="134">
        <f t="shared" si="3"/>
        <v>0</v>
      </c>
      <c r="K11" s="134">
        <f t="shared" si="3"/>
        <v>0</v>
      </c>
      <c r="L11" s="134">
        <f t="shared" si="3"/>
        <v>0</v>
      </c>
      <c r="M11" s="134"/>
      <c r="N11" s="107"/>
      <c r="S11" s="106"/>
      <c r="T11" s="208"/>
      <c r="U11" s="208"/>
      <c r="V11" s="208"/>
      <c r="W11" s="208"/>
      <c r="Y11" s="242"/>
      <c r="Z11" s="242"/>
      <c r="AA11" s="242"/>
      <c r="AB11" s="243"/>
    </row>
    <row r="12" spans="1:28" ht="15" customHeight="1" hidden="1">
      <c r="A12" s="135">
        <v>3121</v>
      </c>
      <c r="B12" s="129" t="s">
        <v>59</v>
      </c>
      <c r="C12" s="130">
        <f>+SUM(D12:L12)</f>
        <v>3710000</v>
      </c>
      <c r="D12" s="136"/>
      <c r="E12" s="136"/>
      <c r="F12" s="136"/>
      <c r="G12" s="136">
        <f>1166000+1250000+1294000</f>
        <v>3710000</v>
      </c>
      <c r="H12" s="136"/>
      <c r="I12" s="136"/>
      <c r="J12" s="136"/>
      <c r="K12" s="136"/>
      <c r="L12" s="136"/>
      <c r="M12" s="130"/>
      <c r="N12" s="131"/>
      <c r="O12" s="106">
        <v>0</v>
      </c>
      <c r="P12" s="106">
        <v>0</v>
      </c>
      <c r="Q12" s="106">
        <v>3710000</v>
      </c>
      <c r="R12" s="106">
        <f>0</f>
        <v>0</v>
      </c>
      <c r="S12" s="106">
        <f aca="true" t="shared" si="4" ref="S12:S48">Q12-R12-C12</f>
        <v>0</v>
      </c>
      <c r="T12" s="208"/>
      <c r="U12" s="208"/>
      <c r="V12" s="208"/>
      <c r="W12" s="208"/>
      <c r="Y12" s="242"/>
      <c r="Z12" s="242"/>
      <c r="AA12" s="242"/>
      <c r="AB12" s="244"/>
    </row>
    <row r="13" spans="1:28" s="127" customFormat="1" ht="15" customHeight="1">
      <c r="A13" s="137">
        <v>313</v>
      </c>
      <c r="B13" s="133" t="s">
        <v>22</v>
      </c>
      <c r="C13" s="134">
        <f>SUM(C14:C15)</f>
        <v>19345000</v>
      </c>
      <c r="D13" s="134">
        <f>SUM(D14:D15)</f>
        <v>0</v>
      </c>
      <c r="E13" s="134">
        <f aca="true" t="shared" si="5" ref="E13:L13">SUM(E14:E15)</f>
        <v>0</v>
      </c>
      <c r="F13" s="134">
        <f t="shared" si="5"/>
        <v>0</v>
      </c>
      <c r="G13" s="134">
        <f t="shared" si="5"/>
        <v>19345000</v>
      </c>
      <c r="H13" s="134">
        <f t="shared" si="5"/>
        <v>0</v>
      </c>
      <c r="I13" s="134">
        <f t="shared" si="5"/>
        <v>0</v>
      </c>
      <c r="J13" s="134">
        <f t="shared" si="5"/>
        <v>0</v>
      </c>
      <c r="K13" s="134">
        <f t="shared" si="5"/>
        <v>0</v>
      </c>
      <c r="L13" s="134">
        <f t="shared" si="5"/>
        <v>0</v>
      </c>
      <c r="M13" s="134"/>
      <c r="N13" s="107"/>
      <c r="S13" s="106"/>
      <c r="T13" s="208"/>
      <c r="U13" s="208"/>
      <c r="V13" s="208"/>
      <c r="W13" s="208"/>
      <c r="Y13" s="242"/>
      <c r="Z13" s="242"/>
      <c r="AA13" s="242"/>
      <c r="AB13" s="242"/>
    </row>
    <row r="14" spans="1:28" ht="15" customHeight="1" hidden="1">
      <c r="A14" s="135">
        <v>3132</v>
      </c>
      <c r="B14" s="129" t="s">
        <v>60</v>
      </c>
      <c r="C14" s="130">
        <f>+SUM(D14:L14)</f>
        <v>17433000</v>
      </c>
      <c r="D14" s="138">
        <v>0</v>
      </c>
      <c r="E14" s="138"/>
      <c r="F14" s="138"/>
      <c r="G14" s="138">
        <v>17433000</v>
      </c>
      <c r="H14" s="138"/>
      <c r="I14" s="138"/>
      <c r="J14" s="138"/>
      <c r="K14" s="138"/>
      <c r="L14" s="138"/>
      <c r="M14" s="130"/>
      <c r="N14" s="131"/>
      <c r="O14" s="106">
        <v>0</v>
      </c>
      <c r="P14" s="106">
        <v>0</v>
      </c>
      <c r="Q14" s="106">
        <v>17788973</v>
      </c>
      <c r="R14" s="106">
        <f>C91+C105+C116</f>
        <v>86626</v>
      </c>
      <c r="S14" s="106">
        <f t="shared" si="4"/>
        <v>269347</v>
      </c>
      <c r="T14" s="208"/>
      <c r="U14" s="208"/>
      <c r="V14" s="208"/>
      <c r="W14" s="208"/>
      <c r="Y14" s="242"/>
      <c r="Z14" s="242"/>
      <c r="AA14" s="242"/>
      <c r="AB14" s="242"/>
    </row>
    <row r="15" spans="1:28" ht="29.25" customHeight="1" hidden="1">
      <c r="A15" s="135">
        <v>3133</v>
      </c>
      <c r="B15" s="129" t="s">
        <v>61</v>
      </c>
      <c r="C15" s="130">
        <f>+SUM(D15:L15)</f>
        <v>1912000</v>
      </c>
      <c r="D15" s="139">
        <v>0</v>
      </c>
      <c r="E15" s="139"/>
      <c r="F15" s="139"/>
      <c r="G15" s="139">
        <v>1912000</v>
      </c>
      <c r="H15" s="139"/>
      <c r="I15" s="139"/>
      <c r="J15" s="139"/>
      <c r="K15" s="139"/>
      <c r="L15" s="139"/>
      <c r="M15" s="140"/>
      <c r="N15" s="141"/>
      <c r="Q15" s="106">
        <v>1951049</v>
      </c>
      <c r="R15" s="106">
        <f>C92+C106+C117</f>
        <v>9500</v>
      </c>
      <c r="S15" s="106">
        <f t="shared" si="4"/>
        <v>29549</v>
      </c>
      <c r="T15" s="208"/>
      <c r="U15" s="208"/>
      <c r="V15" s="208"/>
      <c r="W15" s="208"/>
      <c r="Y15" s="245"/>
      <c r="Z15" s="242"/>
      <c r="AA15" s="242"/>
      <c r="AB15" s="243"/>
    </row>
    <row r="16" spans="1:28" ht="14.25" customHeight="1">
      <c r="A16" s="137">
        <v>32</v>
      </c>
      <c r="B16" s="133" t="s">
        <v>23</v>
      </c>
      <c r="C16" s="102">
        <f>C22+C29+C38+C40+C17</f>
        <v>61562384.75</v>
      </c>
      <c r="D16" s="102">
        <f aca="true" t="shared" si="6" ref="D16:L16">D22+D29+D38+D40+D17</f>
        <v>0</v>
      </c>
      <c r="E16" s="102">
        <f t="shared" si="6"/>
        <v>340000</v>
      </c>
      <c r="F16" s="102">
        <f t="shared" si="6"/>
        <v>0</v>
      </c>
      <c r="G16" s="102">
        <f t="shared" si="6"/>
        <v>59943145.75</v>
      </c>
      <c r="H16" s="102">
        <f t="shared" si="6"/>
        <v>969239</v>
      </c>
      <c r="I16" s="102">
        <f t="shared" si="6"/>
        <v>0</v>
      </c>
      <c r="J16" s="102">
        <f t="shared" si="6"/>
        <v>300000</v>
      </c>
      <c r="K16" s="102">
        <f t="shared" si="6"/>
        <v>10000</v>
      </c>
      <c r="L16" s="102">
        <f t="shared" si="6"/>
        <v>0</v>
      </c>
      <c r="M16" s="102">
        <v>61500000</v>
      </c>
      <c r="N16" s="126">
        <v>61500000</v>
      </c>
      <c r="O16" s="106">
        <v>0</v>
      </c>
      <c r="P16" s="106">
        <v>0</v>
      </c>
      <c r="T16" s="208"/>
      <c r="U16" s="208"/>
      <c r="V16" s="208"/>
      <c r="W16" s="208"/>
      <c r="Y16" s="242"/>
      <c r="Z16" s="242"/>
      <c r="AA16" s="242"/>
      <c r="AB16" s="243"/>
    </row>
    <row r="17" spans="1:28" s="127" customFormat="1" ht="12.75" customHeight="1">
      <c r="A17" s="137">
        <v>321</v>
      </c>
      <c r="B17" s="133" t="s">
        <v>24</v>
      </c>
      <c r="C17" s="102">
        <f>SUM(C18:C21)</f>
        <v>3340000</v>
      </c>
      <c r="D17" s="102">
        <f>SUM(D18:D21)</f>
        <v>0</v>
      </c>
      <c r="E17" s="102">
        <f aca="true" t="shared" si="7" ref="E17:L17">SUM(E18:E21)</f>
        <v>0</v>
      </c>
      <c r="F17" s="102">
        <f t="shared" si="7"/>
        <v>0</v>
      </c>
      <c r="G17" s="102">
        <f>SUM(G18:G21)</f>
        <v>3340000</v>
      </c>
      <c r="H17" s="102">
        <f>SUM(H18:H21)</f>
        <v>0</v>
      </c>
      <c r="I17" s="102">
        <f t="shared" si="7"/>
        <v>0</v>
      </c>
      <c r="J17" s="102">
        <f t="shared" si="7"/>
        <v>0</v>
      </c>
      <c r="K17" s="102">
        <f t="shared" si="7"/>
        <v>0</v>
      </c>
      <c r="L17" s="102">
        <f t="shared" si="7"/>
        <v>0</v>
      </c>
      <c r="M17" s="102"/>
      <c r="N17" s="126"/>
      <c r="S17" s="106"/>
      <c r="T17" s="208"/>
      <c r="U17" s="208"/>
      <c r="V17" s="208"/>
      <c r="W17" s="208"/>
      <c r="Y17" s="242"/>
      <c r="Z17" s="242"/>
      <c r="AA17" s="242"/>
      <c r="AB17" s="243"/>
    </row>
    <row r="18" spans="1:28" ht="15.75" customHeight="1" hidden="1">
      <c r="A18" s="135">
        <v>3211</v>
      </c>
      <c r="B18" s="129" t="s">
        <v>62</v>
      </c>
      <c r="C18" s="130">
        <f>+SUM(D18:L18)</f>
        <v>20000</v>
      </c>
      <c r="D18" s="136"/>
      <c r="E18" s="136"/>
      <c r="F18" s="136"/>
      <c r="G18" s="136">
        <v>20000</v>
      </c>
      <c r="H18" s="136"/>
      <c r="I18" s="136"/>
      <c r="J18" s="136"/>
      <c r="K18" s="136"/>
      <c r="L18" s="136"/>
      <c r="M18" s="130"/>
      <c r="N18" s="131"/>
      <c r="O18" s="106">
        <v>0</v>
      </c>
      <c r="P18" s="106">
        <v>0</v>
      </c>
      <c r="Q18" s="106">
        <v>20000</v>
      </c>
      <c r="R18" s="106">
        <f>0</f>
        <v>0</v>
      </c>
      <c r="S18" s="106">
        <f t="shared" si="4"/>
        <v>0</v>
      </c>
      <c r="Y18" s="242"/>
      <c r="Z18" s="242"/>
      <c r="AA18" s="242"/>
      <c r="AB18" s="246"/>
    </row>
    <row r="19" spans="1:28" ht="0.75" customHeight="1" hidden="1">
      <c r="A19" s="135">
        <v>3212</v>
      </c>
      <c r="B19" s="129" t="s">
        <v>63</v>
      </c>
      <c r="C19" s="130">
        <f>+SUM(D19:L19)</f>
        <v>3050000</v>
      </c>
      <c r="D19" s="136"/>
      <c r="E19" s="136"/>
      <c r="F19" s="136"/>
      <c r="G19" s="136">
        <f>3000000+50000</f>
        <v>3050000</v>
      </c>
      <c r="H19" s="136"/>
      <c r="I19" s="136"/>
      <c r="J19" s="136"/>
      <c r="K19" s="136"/>
      <c r="L19" s="136"/>
      <c r="M19" s="130"/>
      <c r="N19" s="131"/>
      <c r="Q19" s="106">
        <v>3000000</v>
      </c>
      <c r="R19" s="106">
        <f>0</f>
        <v>0</v>
      </c>
      <c r="S19" s="106">
        <f t="shared" si="4"/>
        <v>-50000</v>
      </c>
      <c r="Y19" s="242"/>
      <c r="Z19" s="242"/>
      <c r="AA19" s="242"/>
      <c r="AB19" s="246"/>
    </row>
    <row r="20" spans="1:19" ht="15.75" customHeight="1" hidden="1">
      <c r="A20" s="135">
        <v>3213</v>
      </c>
      <c r="B20" s="129" t="s">
        <v>64</v>
      </c>
      <c r="C20" s="130">
        <f>+SUM(D20:L20)</f>
        <v>250000</v>
      </c>
      <c r="D20" s="136"/>
      <c r="E20" s="136"/>
      <c r="F20" s="136"/>
      <c r="G20" s="136">
        <f>235000+15000</f>
        <v>250000</v>
      </c>
      <c r="H20" s="136"/>
      <c r="I20" s="136"/>
      <c r="J20" s="136"/>
      <c r="K20" s="136"/>
      <c r="L20" s="136"/>
      <c r="M20" s="130"/>
      <c r="N20" s="131"/>
      <c r="Q20" s="106">
        <v>235000</v>
      </c>
      <c r="R20" s="106">
        <f>0</f>
        <v>0</v>
      </c>
      <c r="S20" s="106">
        <f t="shared" si="4"/>
        <v>-15000</v>
      </c>
    </row>
    <row r="21" spans="1:21" ht="15" customHeight="1" hidden="1">
      <c r="A21" s="135">
        <v>3214</v>
      </c>
      <c r="B21" s="129" t="s">
        <v>65</v>
      </c>
      <c r="C21" s="130">
        <f>+SUM(D21:L21)</f>
        <v>20000</v>
      </c>
      <c r="D21" s="136"/>
      <c r="E21" s="136"/>
      <c r="F21" s="136"/>
      <c r="G21" s="136">
        <f>10000+10000</f>
        <v>20000</v>
      </c>
      <c r="H21" s="136"/>
      <c r="I21" s="136"/>
      <c r="J21" s="136"/>
      <c r="K21" s="136"/>
      <c r="L21" s="136"/>
      <c r="M21" s="130"/>
      <c r="N21" s="131"/>
      <c r="Q21" s="106">
        <v>20000</v>
      </c>
      <c r="R21" s="106">
        <f>C95</f>
        <v>10000</v>
      </c>
      <c r="S21" s="106">
        <f t="shared" si="4"/>
        <v>-10000</v>
      </c>
      <c r="U21" s="247"/>
    </row>
    <row r="22" spans="1:19" s="127" customFormat="1" ht="14.25" customHeight="1">
      <c r="A22" s="137">
        <v>322</v>
      </c>
      <c r="B22" s="133" t="s">
        <v>25</v>
      </c>
      <c r="C22" s="134">
        <f>SUM(C23:C28)</f>
        <v>45763010.75</v>
      </c>
      <c r="D22" s="134">
        <f aca="true" t="shared" si="8" ref="D22:L22">SUM(D23:D28)</f>
        <v>0</v>
      </c>
      <c r="E22" s="134">
        <f t="shared" si="8"/>
        <v>0</v>
      </c>
      <c r="F22" s="134">
        <f t="shared" si="8"/>
        <v>0</v>
      </c>
      <c r="G22" s="134">
        <f t="shared" si="8"/>
        <v>45431760.75</v>
      </c>
      <c r="H22" s="134">
        <f t="shared" si="8"/>
        <v>21250</v>
      </c>
      <c r="I22" s="134">
        <f t="shared" si="8"/>
        <v>0</v>
      </c>
      <c r="J22" s="134">
        <f>SUM(J23:J28)</f>
        <v>300000</v>
      </c>
      <c r="K22" s="134">
        <f t="shared" si="8"/>
        <v>10000</v>
      </c>
      <c r="L22" s="134">
        <f t="shared" si="8"/>
        <v>0</v>
      </c>
      <c r="M22" s="134"/>
      <c r="N22" s="107"/>
      <c r="O22" s="127">
        <v>0</v>
      </c>
      <c r="P22" s="127">
        <v>0</v>
      </c>
      <c r="S22" s="106"/>
    </row>
    <row r="23" spans="1:19" ht="15" customHeight="1" hidden="1">
      <c r="A23" s="135">
        <v>3221</v>
      </c>
      <c r="B23" s="129" t="s">
        <v>66</v>
      </c>
      <c r="C23" s="130">
        <f aca="true" t="shared" si="9" ref="C23:C28">+SUM(D23:L23)</f>
        <v>1008481.75</v>
      </c>
      <c r="D23" s="136"/>
      <c r="E23" s="136"/>
      <c r="F23" s="136"/>
      <c r="G23" s="136">
        <f>1024353-15871.25</f>
        <v>1008481.75</v>
      </c>
      <c r="H23" s="136"/>
      <c r="I23" s="136"/>
      <c r="J23" s="136"/>
      <c r="K23" s="136"/>
      <c r="L23" s="136"/>
      <c r="M23" s="130"/>
      <c r="N23" s="131"/>
      <c r="Q23" s="106">
        <v>927500</v>
      </c>
      <c r="S23" s="106">
        <f t="shared" si="4"/>
        <v>-80981.75</v>
      </c>
    </row>
    <row r="24" spans="1:19" ht="15.75" customHeight="1" hidden="1">
      <c r="A24" s="135">
        <v>3222</v>
      </c>
      <c r="B24" s="129" t="s">
        <v>67</v>
      </c>
      <c r="C24" s="130">
        <f t="shared" si="9"/>
        <v>36311180</v>
      </c>
      <c r="D24" s="136"/>
      <c r="E24" s="136"/>
      <c r="F24" s="136"/>
      <c r="G24" s="136">
        <v>36011180</v>
      </c>
      <c r="H24" s="136"/>
      <c r="I24" s="136"/>
      <c r="J24" s="136">
        <v>300000</v>
      </c>
      <c r="K24" s="136"/>
      <c r="L24" s="136"/>
      <c r="M24" s="130"/>
      <c r="N24" s="131"/>
      <c r="Q24" s="106">
        <v>37008340</v>
      </c>
      <c r="S24" s="106">
        <f t="shared" si="4"/>
        <v>697160</v>
      </c>
    </row>
    <row r="25" spans="1:19" ht="15" customHeight="1" hidden="1">
      <c r="A25" s="135">
        <v>3223</v>
      </c>
      <c r="B25" s="129" t="s">
        <v>68</v>
      </c>
      <c r="C25" s="130">
        <f t="shared" si="9"/>
        <v>6582787</v>
      </c>
      <c r="D25" s="136"/>
      <c r="E25" s="136"/>
      <c r="F25" s="136"/>
      <c r="G25" s="136">
        <v>6582787</v>
      </c>
      <c r="H25" s="136"/>
      <c r="I25" s="136"/>
      <c r="J25" s="136"/>
      <c r="K25" s="136"/>
      <c r="L25" s="136"/>
      <c r="M25" s="130"/>
      <c r="N25" s="131"/>
      <c r="Q25" s="106">
        <v>6582787</v>
      </c>
      <c r="S25" s="106">
        <f t="shared" si="4"/>
        <v>0</v>
      </c>
    </row>
    <row r="26" spans="1:19" ht="15" customHeight="1" hidden="1">
      <c r="A26" s="135">
        <v>3224</v>
      </c>
      <c r="B26" s="129" t="s">
        <v>69</v>
      </c>
      <c r="C26" s="130">
        <f t="shared" si="9"/>
        <v>1513312</v>
      </c>
      <c r="D26" s="136"/>
      <c r="E26" s="136"/>
      <c r="F26" s="136"/>
      <c r="G26" s="136">
        <v>1503312</v>
      </c>
      <c r="H26" s="136"/>
      <c r="I26" s="136"/>
      <c r="J26" s="136"/>
      <c r="K26" s="136">
        <v>10000</v>
      </c>
      <c r="L26" s="136"/>
      <c r="M26" s="130"/>
      <c r="N26" s="131"/>
      <c r="Q26" s="106">
        <v>1548688</v>
      </c>
      <c r="S26" s="106">
        <f t="shared" si="4"/>
        <v>35376</v>
      </c>
    </row>
    <row r="27" spans="1:19" ht="14.25" customHeight="1" hidden="1">
      <c r="A27" s="135">
        <v>3225</v>
      </c>
      <c r="B27" s="129" t="s">
        <v>70</v>
      </c>
      <c r="C27" s="130">
        <f t="shared" si="9"/>
        <v>326000</v>
      </c>
      <c r="D27" s="136"/>
      <c r="E27" s="136"/>
      <c r="F27" s="136"/>
      <c r="G27" s="136">
        <v>326000</v>
      </c>
      <c r="H27" s="136"/>
      <c r="I27" s="136"/>
      <c r="J27" s="136"/>
      <c r="K27" s="136"/>
      <c r="L27" s="136"/>
      <c r="M27" s="130"/>
      <c r="N27" s="131"/>
      <c r="Q27" s="106">
        <v>249750</v>
      </c>
      <c r="S27" s="106">
        <f t="shared" si="4"/>
        <v>-76250</v>
      </c>
    </row>
    <row r="28" spans="1:19" ht="15.75" customHeight="1" hidden="1">
      <c r="A28" s="135">
        <v>3227</v>
      </c>
      <c r="B28" s="129" t="s">
        <v>71</v>
      </c>
      <c r="C28" s="130">
        <f t="shared" si="9"/>
        <v>21250</v>
      </c>
      <c r="D28" s="136"/>
      <c r="E28" s="136"/>
      <c r="F28" s="136"/>
      <c r="G28" s="136"/>
      <c r="H28" s="136">
        <v>21250</v>
      </c>
      <c r="I28" s="136"/>
      <c r="J28" s="136"/>
      <c r="K28" s="136"/>
      <c r="L28" s="136"/>
      <c r="M28" s="130"/>
      <c r="N28" s="131"/>
      <c r="Q28" s="106">
        <v>212500</v>
      </c>
      <c r="S28" s="106">
        <f t="shared" si="4"/>
        <v>191250</v>
      </c>
    </row>
    <row r="29" spans="1:19" s="127" customFormat="1" ht="18" customHeight="1">
      <c r="A29" s="137">
        <v>323</v>
      </c>
      <c r="B29" s="133" t="s">
        <v>26</v>
      </c>
      <c r="C29" s="134">
        <f>SUM(C30:C37)</f>
        <v>11081385</v>
      </c>
      <c r="D29" s="134">
        <f aca="true" t="shared" si="10" ref="D29:L29">SUM(D30:D37)</f>
        <v>0</v>
      </c>
      <c r="E29" s="134">
        <f t="shared" si="10"/>
        <v>0</v>
      </c>
      <c r="F29" s="134">
        <f t="shared" si="10"/>
        <v>0</v>
      </c>
      <c r="G29" s="134">
        <f t="shared" si="10"/>
        <v>11081385</v>
      </c>
      <c r="H29" s="134">
        <f t="shared" si="10"/>
        <v>0</v>
      </c>
      <c r="I29" s="134">
        <f t="shared" si="10"/>
        <v>0</v>
      </c>
      <c r="J29" s="134">
        <f t="shared" si="10"/>
        <v>0</v>
      </c>
      <c r="K29" s="134">
        <f t="shared" si="10"/>
        <v>0</v>
      </c>
      <c r="L29" s="134">
        <f t="shared" si="10"/>
        <v>0</v>
      </c>
      <c r="M29" s="134"/>
      <c r="N29" s="107"/>
      <c r="S29" s="106"/>
    </row>
    <row r="30" spans="1:19" ht="15.75" customHeight="1" hidden="1">
      <c r="A30" s="135">
        <v>3231</v>
      </c>
      <c r="B30" s="129" t="s">
        <v>72</v>
      </c>
      <c r="C30" s="130">
        <f aca="true" t="shared" si="11" ref="C30:C37">+SUM(D30:L30)</f>
        <v>398400</v>
      </c>
      <c r="D30" s="136"/>
      <c r="E30" s="136"/>
      <c r="F30" s="136"/>
      <c r="G30" s="136">
        <v>398400</v>
      </c>
      <c r="H30" s="136"/>
      <c r="I30" s="136"/>
      <c r="J30" s="136"/>
      <c r="K30" s="136"/>
      <c r="L30" s="136"/>
      <c r="M30" s="130"/>
      <c r="N30" s="131"/>
      <c r="Q30" s="106">
        <v>364750</v>
      </c>
      <c r="S30" s="106">
        <f t="shared" si="4"/>
        <v>-33650</v>
      </c>
    </row>
    <row r="31" spans="1:19" ht="15" customHeight="1" hidden="1">
      <c r="A31" s="135">
        <v>3232</v>
      </c>
      <c r="B31" s="129" t="s">
        <v>73</v>
      </c>
      <c r="C31" s="130">
        <f t="shared" si="11"/>
        <v>1428840</v>
      </c>
      <c r="D31" s="136"/>
      <c r="E31" s="136"/>
      <c r="F31" s="136"/>
      <c r="G31" s="136">
        <v>1428840</v>
      </c>
      <c r="H31" s="136"/>
      <c r="I31" s="136"/>
      <c r="J31" s="136"/>
      <c r="K31" s="136"/>
      <c r="L31" s="136"/>
      <c r="M31" s="130"/>
      <c r="N31" s="131"/>
      <c r="Q31" s="106">
        <v>3235180</v>
      </c>
      <c r="R31" s="106">
        <v>2001720</v>
      </c>
      <c r="S31" s="106">
        <f t="shared" si="4"/>
        <v>-195380</v>
      </c>
    </row>
    <row r="32" spans="1:19" ht="17.25" customHeight="1" hidden="1">
      <c r="A32" s="135">
        <v>3234</v>
      </c>
      <c r="B32" s="129" t="s">
        <v>74</v>
      </c>
      <c r="C32" s="130">
        <f t="shared" si="11"/>
        <v>3444625</v>
      </c>
      <c r="D32" s="136"/>
      <c r="E32" s="136"/>
      <c r="F32" s="136"/>
      <c r="G32" s="136">
        <v>3444625</v>
      </c>
      <c r="H32" s="136"/>
      <c r="I32" s="136"/>
      <c r="J32" s="136"/>
      <c r="K32" s="136"/>
      <c r="L32" s="136"/>
      <c r="M32" s="130"/>
      <c r="N32" s="131"/>
      <c r="Q32" s="106">
        <v>3446125</v>
      </c>
      <c r="S32" s="106">
        <f t="shared" si="4"/>
        <v>1500</v>
      </c>
    </row>
    <row r="33" spans="1:19" ht="0.75" customHeight="1" hidden="1">
      <c r="A33" s="135">
        <v>3235</v>
      </c>
      <c r="B33" s="129" t="s">
        <v>75</v>
      </c>
      <c r="C33" s="130">
        <f t="shared" si="11"/>
        <v>126537</v>
      </c>
      <c r="D33" s="136"/>
      <c r="E33" s="136"/>
      <c r="F33" s="136"/>
      <c r="G33" s="136">
        <v>126537</v>
      </c>
      <c r="H33" s="136"/>
      <c r="I33" s="136"/>
      <c r="J33" s="136"/>
      <c r="K33" s="136"/>
      <c r="L33" s="136"/>
      <c r="M33" s="130"/>
      <c r="N33" s="131"/>
      <c r="Q33" s="106">
        <v>35788</v>
      </c>
      <c r="S33" s="106">
        <f t="shared" si="4"/>
        <v>-90749</v>
      </c>
    </row>
    <row r="34" spans="1:19" ht="15.75" customHeight="1" hidden="1">
      <c r="A34" s="135">
        <v>3236</v>
      </c>
      <c r="B34" s="129" t="s">
        <v>76</v>
      </c>
      <c r="C34" s="130">
        <f t="shared" si="11"/>
        <v>2500505</v>
      </c>
      <c r="D34" s="136"/>
      <c r="E34" s="136"/>
      <c r="F34" s="136"/>
      <c r="G34" s="136">
        <v>2500505</v>
      </c>
      <c r="H34" s="136"/>
      <c r="I34" s="136"/>
      <c r="J34" s="136"/>
      <c r="K34" s="136"/>
      <c r="L34" s="136"/>
      <c r="M34" s="130"/>
      <c r="N34" s="131"/>
      <c r="Q34" s="106">
        <v>2345084</v>
      </c>
      <c r="S34" s="106">
        <f t="shared" si="4"/>
        <v>-155421</v>
      </c>
    </row>
    <row r="35" spans="1:19" ht="18.75" customHeight="1" hidden="1">
      <c r="A35" s="135">
        <v>3237</v>
      </c>
      <c r="B35" s="129" t="s">
        <v>77</v>
      </c>
      <c r="C35" s="130">
        <f t="shared" si="11"/>
        <v>1229875</v>
      </c>
      <c r="D35" s="136"/>
      <c r="E35" s="136"/>
      <c r="F35" s="136"/>
      <c r="G35" s="136">
        <v>1229875</v>
      </c>
      <c r="H35" s="136"/>
      <c r="I35" s="136"/>
      <c r="J35" s="136"/>
      <c r="K35" s="136"/>
      <c r="L35" s="136"/>
      <c r="M35" s="130"/>
      <c r="N35" s="131"/>
      <c r="Q35" s="106">
        <v>885000</v>
      </c>
      <c r="S35" s="106">
        <f t="shared" si="4"/>
        <v>-344875</v>
      </c>
    </row>
    <row r="36" spans="1:19" ht="16.5" customHeight="1" hidden="1">
      <c r="A36" s="135">
        <v>3238</v>
      </c>
      <c r="B36" s="129" t="s">
        <v>78</v>
      </c>
      <c r="C36" s="130">
        <f t="shared" si="11"/>
        <v>861635</v>
      </c>
      <c r="D36" s="136"/>
      <c r="E36" s="136"/>
      <c r="F36" s="136"/>
      <c r="G36" s="136">
        <v>861635</v>
      </c>
      <c r="H36" s="136"/>
      <c r="I36" s="136"/>
      <c r="J36" s="136"/>
      <c r="K36" s="136"/>
      <c r="L36" s="136"/>
      <c r="M36" s="130"/>
      <c r="N36" s="131"/>
      <c r="Q36" s="106">
        <v>859913</v>
      </c>
      <c r="S36" s="106">
        <f t="shared" si="4"/>
        <v>-1722</v>
      </c>
    </row>
    <row r="37" spans="1:19" ht="15" customHeight="1" hidden="1">
      <c r="A37" s="135">
        <v>3239</v>
      </c>
      <c r="B37" s="142" t="s">
        <v>79</v>
      </c>
      <c r="C37" s="130">
        <f t="shared" si="11"/>
        <v>1090968</v>
      </c>
      <c r="D37" s="136"/>
      <c r="E37" s="136"/>
      <c r="F37" s="136"/>
      <c r="G37" s="136">
        <v>1090968</v>
      </c>
      <c r="H37" s="136"/>
      <c r="I37" s="136"/>
      <c r="J37" s="136"/>
      <c r="K37" s="136"/>
      <c r="L37" s="136"/>
      <c r="M37" s="130"/>
      <c r="N37" s="131"/>
      <c r="Q37" s="106">
        <v>1076719</v>
      </c>
      <c r="S37" s="106">
        <f t="shared" si="4"/>
        <v>-14249</v>
      </c>
    </row>
    <row r="38" spans="1:19" s="127" customFormat="1" ht="27.75" customHeight="1">
      <c r="A38" s="137">
        <v>324</v>
      </c>
      <c r="B38" s="133" t="s">
        <v>80</v>
      </c>
      <c r="C38" s="134">
        <f aca="true" t="shared" si="12" ref="C38:H38">C39</f>
        <v>300000</v>
      </c>
      <c r="D38" s="134">
        <f t="shared" si="12"/>
        <v>0</v>
      </c>
      <c r="E38" s="134">
        <f t="shared" si="12"/>
        <v>0</v>
      </c>
      <c r="F38" s="134">
        <f t="shared" si="12"/>
        <v>0</v>
      </c>
      <c r="G38" s="134">
        <f t="shared" si="12"/>
        <v>0</v>
      </c>
      <c r="H38" s="134">
        <f t="shared" si="12"/>
        <v>300000</v>
      </c>
      <c r="I38" s="205"/>
      <c r="J38" s="205"/>
      <c r="K38" s="205"/>
      <c r="L38" s="205"/>
      <c r="M38" s="134"/>
      <c r="N38" s="107"/>
      <c r="S38" s="106"/>
    </row>
    <row r="39" spans="1:19" ht="0.75" customHeight="1">
      <c r="A39" s="135">
        <v>3241</v>
      </c>
      <c r="B39" s="129" t="s">
        <v>80</v>
      </c>
      <c r="C39" s="130">
        <f>+SUM(D39:L39)</f>
        <v>300000</v>
      </c>
      <c r="D39" s="130"/>
      <c r="E39" s="130"/>
      <c r="F39" s="130"/>
      <c r="G39" s="130"/>
      <c r="H39" s="130">
        <v>300000</v>
      </c>
      <c r="I39" s="136"/>
      <c r="J39" s="136"/>
      <c r="K39" s="136"/>
      <c r="L39" s="136"/>
      <c r="M39" s="130"/>
      <c r="N39" s="131"/>
      <c r="Q39" s="106">
        <v>595000</v>
      </c>
      <c r="S39" s="106">
        <f t="shared" si="4"/>
        <v>295000</v>
      </c>
    </row>
    <row r="40" spans="1:19" s="127" customFormat="1" ht="15.75">
      <c r="A40" s="137">
        <v>329</v>
      </c>
      <c r="B40" s="133" t="s">
        <v>27</v>
      </c>
      <c r="C40" s="134">
        <f>SUM(C41:C45)</f>
        <v>1077989</v>
      </c>
      <c r="D40" s="134">
        <f>SUM(D41:D45)</f>
        <v>0</v>
      </c>
      <c r="E40" s="134">
        <f aca="true" t="shared" si="13" ref="E40:L40">SUM(E41:E45)</f>
        <v>340000</v>
      </c>
      <c r="F40" s="134">
        <f t="shared" si="13"/>
        <v>0</v>
      </c>
      <c r="G40" s="134">
        <f t="shared" si="13"/>
        <v>90000</v>
      </c>
      <c r="H40" s="134">
        <f t="shared" si="13"/>
        <v>647989</v>
      </c>
      <c r="I40" s="134">
        <f t="shared" si="13"/>
        <v>0</v>
      </c>
      <c r="J40" s="134">
        <f t="shared" si="13"/>
        <v>0</v>
      </c>
      <c r="K40" s="134">
        <f t="shared" si="13"/>
        <v>0</v>
      </c>
      <c r="L40" s="134">
        <f t="shared" si="13"/>
        <v>0</v>
      </c>
      <c r="M40" s="134"/>
      <c r="N40" s="107"/>
      <c r="S40" s="106"/>
    </row>
    <row r="41" spans="1:24" ht="0.75" customHeight="1" hidden="1">
      <c r="A41" s="135">
        <v>3291</v>
      </c>
      <c r="B41" s="129" t="s">
        <v>81</v>
      </c>
      <c r="C41" s="130">
        <f>+SUM(D41:L41)</f>
        <v>90000</v>
      </c>
      <c r="D41" s="140"/>
      <c r="E41" s="140"/>
      <c r="F41" s="140"/>
      <c r="G41" s="140">
        <f>60000+30000</f>
        <v>90000</v>
      </c>
      <c r="H41" s="140"/>
      <c r="I41" s="140"/>
      <c r="J41" s="140"/>
      <c r="K41" s="140"/>
      <c r="L41" s="140"/>
      <c r="M41" s="140"/>
      <c r="N41" s="141"/>
      <c r="Q41" s="106">
        <v>90000</v>
      </c>
      <c r="S41" s="106">
        <f t="shared" si="4"/>
        <v>0</v>
      </c>
      <c r="U41" s="248"/>
      <c r="V41" s="248"/>
      <c r="W41" s="208"/>
      <c r="X41" s="208"/>
    </row>
    <row r="42" spans="1:24" ht="17.25" customHeight="1" hidden="1">
      <c r="A42" s="135">
        <v>3292</v>
      </c>
      <c r="B42" s="129" t="s">
        <v>82</v>
      </c>
      <c r="C42" s="130">
        <f>+SUM(D42:L42)</f>
        <v>647989</v>
      </c>
      <c r="D42" s="140"/>
      <c r="E42" s="140"/>
      <c r="F42" s="140"/>
      <c r="G42" s="140"/>
      <c r="H42" s="140">
        <v>647989</v>
      </c>
      <c r="I42" s="140"/>
      <c r="J42" s="140"/>
      <c r="K42" s="140"/>
      <c r="L42" s="140"/>
      <c r="M42" s="140"/>
      <c r="N42" s="141"/>
      <c r="Q42" s="106">
        <v>229334</v>
      </c>
      <c r="S42" s="106">
        <f t="shared" si="4"/>
        <v>-418655</v>
      </c>
      <c r="U42" s="208"/>
      <c r="V42" s="208"/>
      <c r="W42" s="208"/>
      <c r="X42" s="208"/>
    </row>
    <row r="43" spans="1:24" ht="17.25" customHeight="1" hidden="1">
      <c r="A43" s="135">
        <v>3294</v>
      </c>
      <c r="B43" s="129" t="s">
        <v>83</v>
      </c>
      <c r="C43" s="130">
        <f>+SUM(D43:L43)</f>
        <v>20000</v>
      </c>
      <c r="D43" s="140"/>
      <c r="E43" s="140">
        <v>20000</v>
      </c>
      <c r="F43" s="140"/>
      <c r="G43" s="140"/>
      <c r="H43" s="140"/>
      <c r="I43" s="140"/>
      <c r="J43" s="140"/>
      <c r="K43" s="140"/>
      <c r="L43" s="140"/>
      <c r="M43" s="140"/>
      <c r="N43" s="141"/>
      <c r="Q43" s="106">
        <v>20000</v>
      </c>
      <c r="S43" s="106">
        <f t="shared" si="4"/>
        <v>0</v>
      </c>
      <c r="U43" s="208"/>
      <c r="V43" s="208"/>
      <c r="W43" s="208"/>
      <c r="X43" s="208"/>
    </row>
    <row r="44" spans="1:24" ht="18" customHeight="1" hidden="1">
      <c r="A44" s="135">
        <v>3295</v>
      </c>
      <c r="B44" s="129" t="s">
        <v>84</v>
      </c>
      <c r="C44" s="130">
        <f>+SUM(D44:L44)</f>
        <v>300000</v>
      </c>
      <c r="D44" s="140"/>
      <c r="E44" s="140">
        <v>300000</v>
      </c>
      <c r="F44" s="140"/>
      <c r="G44" s="140"/>
      <c r="H44" s="140"/>
      <c r="I44" s="140"/>
      <c r="J44" s="140"/>
      <c r="K44" s="140"/>
      <c r="L44" s="140"/>
      <c r="M44" s="140"/>
      <c r="N44" s="141"/>
      <c r="Q44" s="106">
        <v>73100</v>
      </c>
      <c r="S44" s="106">
        <f t="shared" si="4"/>
        <v>-226900</v>
      </c>
      <c r="U44" s="208"/>
      <c r="V44" s="208"/>
      <c r="W44" s="208"/>
      <c r="X44" s="208"/>
    </row>
    <row r="45" spans="1:24" ht="1.5" customHeight="1" hidden="1">
      <c r="A45" s="135">
        <v>3299</v>
      </c>
      <c r="B45" s="129" t="s">
        <v>27</v>
      </c>
      <c r="C45" s="130">
        <f>+SUM(D45:L45)</f>
        <v>20000</v>
      </c>
      <c r="D45" s="140"/>
      <c r="E45" s="140">
        <v>20000</v>
      </c>
      <c r="F45" s="140"/>
      <c r="G45" s="140"/>
      <c r="H45" s="140"/>
      <c r="I45" s="140"/>
      <c r="J45" s="140"/>
      <c r="K45" s="140"/>
      <c r="L45" s="140"/>
      <c r="M45" s="140"/>
      <c r="N45" s="141"/>
      <c r="Q45" s="106">
        <v>20000</v>
      </c>
      <c r="S45" s="106">
        <f t="shared" si="4"/>
        <v>0</v>
      </c>
      <c r="U45" s="208"/>
      <c r="V45" s="208"/>
      <c r="W45" s="208"/>
      <c r="X45" s="208"/>
    </row>
    <row r="46" spans="1:24" ht="15.75">
      <c r="A46" s="137">
        <v>34</v>
      </c>
      <c r="B46" s="133" t="s">
        <v>85</v>
      </c>
      <c r="C46" s="102">
        <f>C47</f>
        <v>271500</v>
      </c>
      <c r="D46" s="102">
        <f aca="true" t="shared" si="14" ref="D46:L46">D47</f>
        <v>0</v>
      </c>
      <c r="E46" s="102">
        <f>E47</f>
        <v>271500</v>
      </c>
      <c r="F46" s="102">
        <f t="shared" si="14"/>
        <v>0</v>
      </c>
      <c r="G46" s="102">
        <f t="shared" si="14"/>
        <v>0</v>
      </c>
      <c r="H46" s="102">
        <f t="shared" si="14"/>
        <v>0</v>
      </c>
      <c r="I46" s="102">
        <f t="shared" si="14"/>
        <v>0</v>
      </c>
      <c r="J46" s="102">
        <f t="shared" si="14"/>
        <v>0</v>
      </c>
      <c r="K46" s="102">
        <f t="shared" si="14"/>
        <v>0</v>
      </c>
      <c r="L46" s="102">
        <f t="shared" si="14"/>
        <v>0</v>
      </c>
      <c r="M46" s="102">
        <v>271500</v>
      </c>
      <c r="N46" s="126">
        <v>271500</v>
      </c>
      <c r="U46" s="208"/>
      <c r="V46" s="208"/>
      <c r="W46" s="208"/>
      <c r="X46" s="208"/>
    </row>
    <row r="47" spans="1:24" s="127" customFormat="1" ht="14.25" customHeight="1">
      <c r="A47" s="137">
        <v>343</v>
      </c>
      <c r="B47" s="133" t="s">
        <v>28</v>
      </c>
      <c r="C47" s="134">
        <f>C48+C49</f>
        <v>271500</v>
      </c>
      <c r="D47" s="134">
        <f aca="true" t="shared" si="15" ref="D47:L47">D48+D49</f>
        <v>0</v>
      </c>
      <c r="E47" s="134">
        <f t="shared" si="15"/>
        <v>271500</v>
      </c>
      <c r="F47" s="134">
        <f t="shared" si="15"/>
        <v>0</v>
      </c>
      <c r="G47" s="134">
        <f t="shared" si="15"/>
        <v>0</v>
      </c>
      <c r="H47" s="134">
        <f t="shared" si="15"/>
        <v>0</v>
      </c>
      <c r="I47" s="134">
        <f t="shared" si="15"/>
        <v>0</v>
      </c>
      <c r="J47" s="134">
        <f t="shared" si="15"/>
        <v>0</v>
      </c>
      <c r="K47" s="134">
        <f t="shared" si="15"/>
        <v>0</v>
      </c>
      <c r="L47" s="134">
        <f t="shared" si="15"/>
        <v>0</v>
      </c>
      <c r="M47" s="134"/>
      <c r="N47" s="107"/>
      <c r="S47" s="106"/>
      <c r="U47" s="208"/>
      <c r="V47" s="208"/>
      <c r="W47" s="208"/>
      <c r="X47" s="208"/>
    </row>
    <row r="48" spans="1:24" ht="16.5" customHeight="1" hidden="1">
      <c r="A48" s="135">
        <v>3431</v>
      </c>
      <c r="B48" s="129" t="s">
        <v>86</v>
      </c>
      <c r="C48" s="130">
        <f>+SUM(D48:L48)</f>
        <v>21500</v>
      </c>
      <c r="D48" s="140"/>
      <c r="E48" s="140">
        <v>21500</v>
      </c>
      <c r="F48" s="140">
        <v>0</v>
      </c>
      <c r="G48" s="140"/>
      <c r="H48" s="140"/>
      <c r="I48" s="140"/>
      <c r="J48" s="140"/>
      <c r="K48" s="140"/>
      <c r="L48" s="140"/>
      <c r="M48" s="140"/>
      <c r="N48" s="141"/>
      <c r="Q48" s="106">
        <v>21500</v>
      </c>
      <c r="S48" s="106">
        <f t="shared" si="4"/>
        <v>0</v>
      </c>
      <c r="U48" s="208"/>
      <c r="V48" s="208"/>
      <c r="W48" s="208"/>
      <c r="X48" s="208"/>
    </row>
    <row r="49" spans="1:24" ht="15.75" customHeight="1" hidden="1">
      <c r="A49" s="135">
        <v>3433</v>
      </c>
      <c r="B49" s="129" t="s">
        <v>140</v>
      </c>
      <c r="C49" s="130">
        <f>+SUM(D49:L49)</f>
        <v>250000</v>
      </c>
      <c r="D49" s="140"/>
      <c r="E49" s="140">
        <v>250000</v>
      </c>
      <c r="F49" s="140"/>
      <c r="G49" s="140"/>
      <c r="H49" s="140"/>
      <c r="I49" s="140"/>
      <c r="J49" s="140"/>
      <c r="K49" s="140"/>
      <c r="L49" s="140"/>
      <c r="M49" s="140"/>
      <c r="N49" s="141"/>
      <c r="U49" s="208"/>
      <c r="V49" s="208"/>
      <c r="W49" s="208"/>
      <c r="X49" s="208"/>
    </row>
    <row r="50" spans="1:24" ht="15.75">
      <c r="A50" s="137">
        <v>38</v>
      </c>
      <c r="B50" s="133" t="s">
        <v>87</v>
      </c>
      <c r="C50" s="102">
        <f>C51</f>
        <v>70000</v>
      </c>
      <c r="D50" s="102">
        <f aca="true" t="shared" si="16" ref="D50:L50">D51</f>
        <v>0</v>
      </c>
      <c r="E50" s="102">
        <f t="shared" si="16"/>
        <v>0</v>
      </c>
      <c r="F50" s="102">
        <f t="shared" si="16"/>
        <v>0</v>
      </c>
      <c r="G50" s="102">
        <f t="shared" si="16"/>
        <v>0</v>
      </c>
      <c r="H50" s="102">
        <f t="shared" si="16"/>
        <v>70000</v>
      </c>
      <c r="I50" s="102">
        <f t="shared" si="16"/>
        <v>0</v>
      </c>
      <c r="J50" s="102">
        <f t="shared" si="16"/>
        <v>0</v>
      </c>
      <c r="K50" s="102">
        <f t="shared" si="16"/>
        <v>0</v>
      </c>
      <c r="L50" s="102">
        <f t="shared" si="16"/>
        <v>0</v>
      </c>
      <c r="M50" s="102">
        <v>0</v>
      </c>
      <c r="N50" s="126">
        <v>0</v>
      </c>
      <c r="U50" s="208"/>
      <c r="V50" s="208"/>
      <c r="W50" s="208"/>
      <c r="X50" s="208"/>
    </row>
    <row r="51" spans="1:24" ht="15.75">
      <c r="A51" s="137">
        <v>383</v>
      </c>
      <c r="B51" s="133" t="s">
        <v>88</v>
      </c>
      <c r="C51" s="102">
        <f>SUM(C52)</f>
        <v>70000</v>
      </c>
      <c r="D51" s="102">
        <f aca="true" t="shared" si="17" ref="D51:L51">SUM(D52)</f>
        <v>0</v>
      </c>
      <c r="E51" s="102">
        <f t="shared" si="17"/>
        <v>0</v>
      </c>
      <c r="F51" s="102">
        <f t="shared" si="17"/>
        <v>0</v>
      </c>
      <c r="G51" s="102">
        <f t="shared" si="17"/>
        <v>0</v>
      </c>
      <c r="H51" s="102">
        <f t="shared" si="17"/>
        <v>70000</v>
      </c>
      <c r="I51" s="102">
        <f t="shared" si="17"/>
        <v>0</v>
      </c>
      <c r="J51" s="102">
        <f t="shared" si="17"/>
        <v>0</v>
      </c>
      <c r="K51" s="102">
        <f t="shared" si="17"/>
        <v>0</v>
      </c>
      <c r="L51" s="102">
        <f t="shared" si="17"/>
        <v>0</v>
      </c>
      <c r="M51" s="102"/>
      <c r="N51" s="126"/>
      <c r="U51" s="208"/>
      <c r="V51" s="208"/>
      <c r="W51" s="208"/>
      <c r="X51" s="208"/>
    </row>
    <row r="52" spans="1:24" ht="0.75" customHeight="1">
      <c r="A52" s="135">
        <v>3831</v>
      </c>
      <c r="B52" s="129" t="s">
        <v>89</v>
      </c>
      <c r="C52" s="220">
        <f>+SUM(D52:L52)</f>
        <v>70000</v>
      </c>
      <c r="D52" s="130"/>
      <c r="E52" s="130"/>
      <c r="F52" s="130"/>
      <c r="G52" s="130"/>
      <c r="H52" s="130">
        <v>70000</v>
      </c>
      <c r="I52" s="130"/>
      <c r="J52" s="130"/>
      <c r="K52" s="130"/>
      <c r="L52" s="130"/>
      <c r="M52" s="130"/>
      <c r="N52" s="131"/>
      <c r="U52" s="208"/>
      <c r="V52" s="208"/>
      <c r="W52" s="208"/>
      <c r="X52" s="208"/>
    </row>
    <row r="53" spans="1:24" s="215" customFormat="1" ht="12.75" customHeight="1">
      <c r="A53" s="213">
        <v>4</v>
      </c>
      <c r="B53" s="214" t="s">
        <v>141</v>
      </c>
      <c r="C53" s="212">
        <f>C54+C57</f>
        <v>0</v>
      </c>
      <c r="D53" s="212">
        <f aca="true" t="shared" si="18" ref="D53:L53">D54+D57</f>
        <v>0</v>
      </c>
      <c r="E53" s="212">
        <f t="shared" si="18"/>
        <v>0</v>
      </c>
      <c r="F53" s="212">
        <f t="shared" si="18"/>
        <v>0</v>
      </c>
      <c r="G53" s="212">
        <f t="shared" si="18"/>
        <v>0</v>
      </c>
      <c r="H53" s="212">
        <f t="shared" si="18"/>
        <v>0</v>
      </c>
      <c r="I53" s="212">
        <f t="shared" si="18"/>
        <v>0</v>
      </c>
      <c r="J53" s="212">
        <f t="shared" si="18"/>
        <v>0</v>
      </c>
      <c r="K53" s="212">
        <f t="shared" si="18"/>
        <v>0</v>
      </c>
      <c r="L53" s="212">
        <f t="shared" si="18"/>
        <v>0</v>
      </c>
      <c r="M53" s="212">
        <f>M57</f>
        <v>0</v>
      </c>
      <c r="N53" s="212">
        <f>N57</f>
        <v>0</v>
      </c>
      <c r="U53" s="249"/>
      <c r="V53" s="208"/>
      <c r="W53" s="208"/>
      <c r="X53" s="249"/>
    </row>
    <row r="54" spans="1:24" s="215" customFormat="1" ht="12.75" customHeight="1">
      <c r="A54" s="213">
        <v>42</v>
      </c>
      <c r="B54" s="216" t="s">
        <v>144</v>
      </c>
      <c r="C54" s="212">
        <f>C55</f>
        <v>0</v>
      </c>
      <c r="D54" s="212">
        <f aca="true" t="shared" si="19" ref="D54:L55">D55</f>
        <v>0</v>
      </c>
      <c r="E54" s="212">
        <f t="shared" si="19"/>
        <v>0</v>
      </c>
      <c r="F54" s="212">
        <f t="shared" si="19"/>
        <v>0</v>
      </c>
      <c r="G54" s="212">
        <f t="shared" si="19"/>
        <v>0</v>
      </c>
      <c r="H54" s="212">
        <f t="shared" si="19"/>
        <v>0</v>
      </c>
      <c r="I54" s="212">
        <f t="shared" si="19"/>
        <v>0</v>
      </c>
      <c r="J54" s="212">
        <f t="shared" si="19"/>
        <v>0</v>
      </c>
      <c r="K54" s="212">
        <f t="shared" si="19"/>
        <v>0</v>
      </c>
      <c r="L54" s="212">
        <f t="shared" si="19"/>
        <v>0</v>
      </c>
      <c r="M54" s="212"/>
      <c r="N54" s="212"/>
      <c r="X54" s="249"/>
    </row>
    <row r="55" spans="1:20" s="215" customFormat="1" ht="12.75" customHeight="1">
      <c r="A55" s="213">
        <v>422</v>
      </c>
      <c r="B55" s="216" t="s">
        <v>29</v>
      </c>
      <c r="C55" s="212">
        <f>C56</f>
        <v>0</v>
      </c>
      <c r="D55" s="212">
        <f t="shared" si="19"/>
        <v>0</v>
      </c>
      <c r="E55" s="212">
        <f t="shared" si="19"/>
        <v>0</v>
      </c>
      <c r="F55" s="212">
        <f t="shared" si="19"/>
        <v>0</v>
      </c>
      <c r="G55" s="212">
        <f t="shared" si="19"/>
        <v>0</v>
      </c>
      <c r="H55" s="212">
        <f t="shared" si="19"/>
        <v>0</v>
      </c>
      <c r="I55" s="212">
        <f t="shared" si="19"/>
        <v>0</v>
      </c>
      <c r="J55" s="212">
        <f t="shared" si="19"/>
        <v>0</v>
      </c>
      <c r="K55" s="212">
        <f t="shared" si="19"/>
        <v>0</v>
      </c>
      <c r="L55" s="212">
        <f t="shared" si="19"/>
        <v>0</v>
      </c>
      <c r="M55" s="212"/>
      <c r="N55" s="212"/>
      <c r="T55" s="249"/>
    </row>
    <row r="56" spans="1:23" s="233" customFormat="1" ht="12.75" customHeight="1">
      <c r="A56" s="231">
        <v>4224</v>
      </c>
      <c r="B56" s="232" t="s">
        <v>103</v>
      </c>
      <c r="C56" s="219">
        <f>SUM(D56:L56)</f>
        <v>0</v>
      </c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T56" s="249"/>
      <c r="U56" s="249"/>
      <c r="V56" s="249"/>
      <c r="W56" s="249"/>
    </row>
    <row r="57" spans="1:22" s="215" customFormat="1" ht="24" customHeight="1">
      <c r="A57" s="213">
        <v>45</v>
      </c>
      <c r="B57" s="216" t="s">
        <v>142</v>
      </c>
      <c r="C57" s="212">
        <f>C58</f>
        <v>0</v>
      </c>
      <c r="D57" s="212">
        <f aca="true" t="shared" si="20" ref="D57:N57">D58</f>
        <v>0</v>
      </c>
      <c r="E57" s="212">
        <f t="shared" si="20"/>
        <v>0</v>
      </c>
      <c r="F57" s="212">
        <f>F58</f>
        <v>0</v>
      </c>
      <c r="G57" s="212">
        <f t="shared" si="20"/>
        <v>0</v>
      </c>
      <c r="H57" s="212">
        <f t="shared" si="20"/>
        <v>0</v>
      </c>
      <c r="I57" s="212">
        <f t="shared" si="20"/>
        <v>0</v>
      </c>
      <c r="J57" s="212">
        <f t="shared" si="20"/>
        <v>0</v>
      </c>
      <c r="K57" s="212">
        <f t="shared" si="20"/>
        <v>0</v>
      </c>
      <c r="L57" s="212">
        <f t="shared" si="20"/>
        <v>0</v>
      </c>
      <c r="M57" s="212">
        <f t="shared" si="20"/>
        <v>0</v>
      </c>
      <c r="N57" s="212">
        <f t="shared" si="20"/>
        <v>0</v>
      </c>
      <c r="T57" s="249"/>
      <c r="U57" s="249"/>
      <c r="V57" s="249"/>
    </row>
    <row r="58" spans="1:23" s="215" customFormat="1" ht="26.25" customHeight="1">
      <c r="A58" s="213">
        <v>451</v>
      </c>
      <c r="B58" s="216" t="s">
        <v>105</v>
      </c>
      <c r="C58" s="212">
        <f>+SUM(D58:L58)</f>
        <v>0</v>
      </c>
      <c r="D58" s="212">
        <v>0</v>
      </c>
      <c r="E58" s="212">
        <v>0</v>
      </c>
      <c r="F58" s="212">
        <v>0</v>
      </c>
      <c r="G58" s="212"/>
      <c r="H58" s="212">
        <v>0</v>
      </c>
      <c r="I58" s="212">
        <v>0</v>
      </c>
      <c r="J58" s="212">
        <v>0</v>
      </c>
      <c r="K58" s="212">
        <v>0</v>
      </c>
      <c r="L58" s="212">
        <v>0</v>
      </c>
      <c r="M58" s="217"/>
      <c r="N58" s="217"/>
      <c r="U58" s="249"/>
      <c r="V58" s="250"/>
      <c r="W58" s="251"/>
    </row>
    <row r="59" spans="1:23" s="127" customFormat="1" ht="16.5" customHeight="1">
      <c r="A59" s="191">
        <v>92</v>
      </c>
      <c r="B59" s="192" t="s">
        <v>143</v>
      </c>
      <c r="C59" s="134">
        <f>+SUM(D59:L59)</f>
        <v>11010000</v>
      </c>
      <c r="D59" s="193">
        <f aca="true" t="shared" si="21" ref="D59:L59">D60</f>
        <v>0</v>
      </c>
      <c r="E59" s="193">
        <f t="shared" si="21"/>
        <v>0</v>
      </c>
      <c r="F59" s="193">
        <f t="shared" si="21"/>
        <v>0</v>
      </c>
      <c r="G59" s="193">
        <v>0</v>
      </c>
      <c r="H59" s="193">
        <f t="shared" si="21"/>
        <v>0</v>
      </c>
      <c r="I59" s="193">
        <f t="shared" si="21"/>
        <v>11010000</v>
      </c>
      <c r="J59" s="193">
        <f t="shared" si="21"/>
        <v>0</v>
      </c>
      <c r="K59" s="193">
        <f t="shared" si="21"/>
        <v>0</v>
      </c>
      <c r="L59" s="193">
        <f t="shared" si="21"/>
        <v>0</v>
      </c>
      <c r="M59" s="193">
        <v>11010000</v>
      </c>
      <c r="N59" s="193">
        <v>11010000</v>
      </c>
      <c r="U59" s="249"/>
      <c r="V59" s="249"/>
      <c r="W59" s="215"/>
    </row>
    <row r="60" spans="1:23" s="127" customFormat="1" ht="15.75" customHeight="1">
      <c r="A60" s="191">
        <v>922</v>
      </c>
      <c r="B60" s="192" t="s">
        <v>110</v>
      </c>
      <c r="C60" s="134">
        <f>+SUM(D60:L60)</f>
        <v>11010000</v>
      </c>
      <c r="D60" s="193"/>
      <c r="E60" s="193"/>
      <c r="F60" s="193"/>
      <c r="G60" s="193"/>
      <c r="H60" s="193"/>
      <c r="I60" s="193">
        <f>I61</f>
        <v>11010000</v>
      </c>
      <c r="J60" s="193"/>
      <c r="K60" s="193"/>
      <c r="L60" s="193"/>
      <c r="M60" s="193"/>
      <c r="N60" s="194"/>
      <c r="U60" s="252"/>
      <c r="V60" s="215"/>
      <c r="W60" s="215"/>
    </row>
    <row r="61" spans="1:23" ht="15.75" customHeight="1" hidden="1">
      <c r="A61" s="195">
        <v>9222</v>
      </c>
      <c r="B61" s="159" t="s">
        <v>111</v>
      </c>
      <c r="C61" s="130">
        <f>+SUM(D61:L61)</f>
        <v>11010000</v>
      </c>
      <c r="D61" s="160"/>
      <c r="E61" s="160"/>
      <c r="F61" s="160"/>
      <c r="G61" s="160"/>
      <c r="H61" s="160"/>
      <c r="I61" s="160">
        <v>11010000</v>
      </c>
      <c r="J61" s="160"/>
      <c r="K61" s="160"/>
      <c r="L61" s="160"/>
      <c r="M61" s="160"/>
      <c r="N61" s="196"/>
      <c r="U61" s="127"/>
      <c r="V61" s="127"/>
      <c r="W61" s="127"/>
    </row>
    <row r="62" spans="1:23" s="235" customFormat="1" ht="15" customHeight="1">
      <c r="A62" s="282" t="s">
        <v>90</v>
      </c>
      <c r="B62" s="283"/>
      <c r="C62" s="234">
        <f>C7+C53</f>
        <v>216028884.75</v>
      </c>
      <c r="D62" s="234">
        <f>D7</f>
        <v>0</v>
      </c>
      <c r="E62" s="234">
        <f>E7</f>
        <v>611500</v>
      </c>
      <c r="F62" s="234">
        <f>F7</f>
        <v>2700000</v>
      </c>
      <c r="G62" s="234">
        <f>G7+G53</f>
        <v>200358145.75</v>
      </c>
      <c r="H62" s="234">
        <f>H7+H53</f>
        <v>1039239</v>
      </c>
      <c r="I62" s="234">
        <f>I7+I53+I59</f>
        <v>11010000</v>
      </c>
      <c r="J62" s="234">
        <f>J7+J53</f>
        <v>300000</v>
      </c>
      <c r="K62" s="234">
        <f>K7+K53</f>
        <v>10000</v>
      </c>
      <c r="L62" s="234">
        <f>L7+L53</f>
        <v>0</v>
      </c>
      <c r="M62" s="234">
        <f>M7</f>
        <v>216593500</v>
      </c>
      <c r="N62" s="234">
        <f>N7</f>
        <v>217293500</v>
      </c>
      <c r="O62" s="234" t="e">
        <f>O7+#REF!</f>
        <v>#REF!</v>
      </c>
      <c r="P62" s="234" t="e">
        <f>P7+#REF!</f>
        <v>#REF!</v>
      </c>
      <c r="R62" s="235">
        <f>SUM(R10:R52)</f>
        <v>2666720</v>
      </c>
      <c r="U62" s="127"/>
      <c r="V62" s="127"/>
      <c r="W62" s="127"/>
    </row>
    <row r="63" spans="1:16" s="144" customFormat="1" ht="0.75" customHeight="1">
      <c r="A63" s="145"/>
      <c r="B63" s="146" t="s">
        <v>91</v>
      </c>
      <c r="C63" s="147">
        <f>SUM(D63:L63)</f>
        <v>244967156</v>
      </c>
      <c r="D63" s="147">
        <v>9606655</v>
      </c>
      <c r="E63" s="147">
        <v>400000</v>
      </c>
      <c r="F63" s="147">
        <v>3015000</v>
      </c>
      <c r="G63" s="147">
        <v>172694265</v>
      </c>
      <c r="H63" s="147">
        <v>675000</v>
      </c>
      <c r="I63" s="147">
        <v>58266236</v>
      </c>
      <c r="J63" s="147">
        <v>300000</v>
      </c>
      <c r="K63" s="147">
        <v>10000</v>
      </c>
      <c r="L63" s="147">
        <v>0</v>
      </c>
      <c r="M63" s="147"/>
      <c r="N63" s="147"/>
      <c r="O63" s="147"/>
      <c r="P63" s="147"/>
    </row>
    <row r="64" spans="1:16" s="144" customFormat="1" ht="18" customHeight="1" hidden="1">
      <c r="A64" s="145"/>
      <c r="B64" s="146" t="s">
        <v>52</v>
      </c>
      <c r="C64" s="147">
        <f aca="true" t="shared" si="22" ref="C64:L64">C73+C96+C107+C118+C132+C150</f>
        <v>24299273.93</v>
      </c>
      <c r="D64" s="147">
        <f t="shared" si="22"/>
        <v>6469687.93</v>
      </c>
      <c r="E64" s="147">
        <f t="shared" si="22"/>
        <v>0</v>
      </c>
      <c r="F64" s="147">
        <f t="shared" si="22"/>
        <v>0</v>
      </c>
      <c r="G64" s="147">
        <f t="shared" si="22"/>
        <v>0</v>
      </c>
      <c r="H64" s="147">
        <f t="shared" si="22"/>
        <v>0</v>
      </c>
      <c r="I64" s="147">
        <f t="shared" si="22"/>
        <v>17829586</v>
      </c>
      <c r="J64" s="147">
        <f t="shared" si="22"/>
        <v>0</v>
      </c>
      <c r="K64" s="147">
        <f t="shared" si="22"/>
        <v>0</v>
      </c>
      <c r="L64" s="147">
        <f t="shared" si="22"/>
        <v>0</v>
      </c>
      <c r="M64" s="147"/>
      <c r="N64" s="147"/>
      <c r="O64" s="147"/>
      <c r="P64" s="147"/>
    </row>
    <row r="65" spans="1:16" s="144" customFormat="1" ht="18" customHeight="1" hidden="1">
      <c r="A65" s="145"/>
      <c r="B65" s="146" t="s">
        <v>92</v>
      </c>
      <c r="C65" s="147">
        <f>C63-C64-C62</f>
        <v>4638997.319999993</v>
      </c>
      <c r="D65" s="147">
        <f aca="true" t="shared" si="23" ref="D65:L65">D63-D64-D62</f>
        <v>3136967.0700000003</v>
      </c>
      <c r="E65" s="147">
        <f t="shared" si="23"/>
        <v>-211500</v>
      </c>
      <c r="F65" s="147">
        <f t="shared" si="23"/>
        <v>315000</v>
      </c>
      <c r="G65" s="147">
        <f t="shared" si="23"/>
        <v>-27663880.75</v>
      </c>
      <c r="H65" s="147">
        <f t="shared" si="23"/>
        <v>-364239</v>
      </c>
      <c r="I65" s="147">
        <f>I63-I64-I62</f>
        <v>29426650</v>
      </c>
      <c r="J65" s="147">
        <f t="shared" si="23"/>
        <v>0</v>
      </c>
      <c r="K65" s="147">
        <f t="shared" si="23"/>
        <v>0</v>
      </c>
      <c r="L65" s="147">
        <f t="shared" si="23"/>
        <v>0</v>
      </c>
      <c r="M65" s="147"/>
      <c r="N65" s="147"/>
      <c r="O65" s="147"/>
      <c r="P65" s="147"/>
    </row>
    <row r="66" spans="1:16" s="144" customFormat="1" ht="17.25" customHeight="1" hidden="1">
      <c r="A66" s="145"/>
      <c r="B66" s="145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</row>
    <row r="67" spans="1:16" s="144" customFormat="1" ht="15.75" customHeight="1">
      <c r="A67" s="145"/>
      <c r="B67" s="145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</row>
    <row r="68" spans="1:14" ht="32.25" customHeight="1">
      <c r="A68" s="103" t="s">
        <v>34</v>
      </c>
      <c r="B68" s="104" t="s">
        <v>131</v>
      </c>
      <c r="C68" s="105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1:14" ht="25.5">
      <c r="A69" s="137">
        <v>4</v>
      </c>
      <c r="B69" s="133" t="s">
        <v>93</v>
      </c>
      <c r="C69" s="102">
        <f>C70</f>
        <v>19374659</v>
      </c>
      <c r="D69" s="102">
        <f aca="true" t="shared" si="24" ref="D69:M71">D70</f>
        <v>1545073</v>
      </c>
      <c r="E69" s="102">
        <f t="shared" si="24"/>
        <v>0</v>
      </c>
      <c r="F69" s="102">
        <f t="shared" si="24"/>
        <v>0</v>
      </c>
      <c r="G69" s="102">
        <f t="shared" si="24"/>
        <v>0</v>
      </c>
      <c r="H69" s="102">
        <f t="shared" si="24"/>
        <v>0</v>
      </c>
      <c r="I69" s="102">
        <f t="shared" si="24"/>
        <v>17829586</v>
      </c>
      <c r="J69" s="102">
        <f t="shared" si="24"/>
        <v>0</v>
      </c>
      <c r="K69" s="102">
        <f t="shared" si="24"/>
        <v>0</v>
      </c>
      <c r="L69" s="102">
        <f t="shared" si="24"/>
        <v>0</v>
      </c>
      <c r="M69" s="102">
        <f t="shared" si="24"/>
        <v>19374659</v>
      </c>
      <c r="N69" s="102">
        <f>N70</f>
        <v>0</v>
      </c>
    </row>
    <row r="70" spans="1:26" ht="33.75" customHeight="1">
      <c r="A70" s="137">
        <v>42</v>
      </c>
      <c r="B70" s="133" t="s">
        <v>94</v>
      </c>
      <c r="C70" s="102">
        <f>C71</f>
        <v>19374659</v>
      </c>
      <c r="D70" s="102">
        <f t="shared" si="24"/>
        <v>1545073</v>
      </c>
      <c r="E70" s="102">
        <f t="shared" si="24"/>
        <v>0</v>
      </c>
      <c r="F70" s="102">
        <f t="shared" si="24"/>
        <v>0</v>
      </c>
      <c r="G70" s="102">
        <f t="shared" si="24"/>
        <v>0</v>
      </c>
      <c r="H70" s="102">
        <f t="shared" si="24"/>
        <v>0</v>
      </c>
      <c r="I70" s="102">
        <f t="shared" si="24"/>
        <v>17829586</v>
      </c>
      <c r="J70" s="102">
        <f t="shared" si="24"/>
        <v>0</v>
      </c>
      <c r="K70" s="102">
        <f t="shared" si="24"/>
        <v>0</v>
      </c>
      <c r="L70" s="102">
        <f t="shared" si="24"/>
        <v>0</v>
      </c>
      <c r="M70" s="102">
        <v>19374659</v>
      </c>
      <c r="N70" s="102">
        <v>0</v>
      </c>
      <c r="U70" s="119"/>
      <c r="V70" s="119"/>
      <c r="W70" s="119"/>
      <c r="X70" s="119"/>
      <c r="Y70" s="119"/>
      <c r="Z70" s="119"/>
    </row>
    <row r="71" spans="1:26" s="127" customFormat="1" ht="16.5" customHeight="1">
      <c r="A71" s="137">
        <v>421</v>
      </c>
      <c r="B71" s="133" t="s">
        <v>95</v>
      </c>
      <c r="C71" s="134">
        <f>C72</f>
        <v>19374659</v>
      </c>
      <c r="D71" s="134">
        <f t="shared" si="24"/>
        <v>1545073</v>
      </c>
      <c r="E71" s="134">
        <f t="shared" si="24"/>
        <v>0</v>
      </c>
      <c r="F71" s="134">
        <f t="shared" si="24"/>
        <v>0</v>
      </c>
      <c r="G71" s="134">
        <f t="shared" si="24"/>
        <v>0</v>
      </c>
      <c r="H71" s="134">
        <f t="shared" si="24"/>
        <v>0</v>
      </c>
      <c r="I71" s="134">
        <f t="shared" si="24"/>
        <v>17829586</v>
      </c>
      <c r="J71" s="134">
        <f t="shared" si="24"/>
        <v>0</v>
      </c>
      <c r="K71" s="134">
        <f t="shared" si="24"/>
        <v>0</v>
      </c>
      <c r="L71" s="134">
        <f t="shared" si="24"/>
        <v>0</v>
      </c>
      <c r="M71" s="134"/>
      <c r="N71" s="126"/>
      <c r="U71" s="106"/>
      <c r="V71" s="207"/>
      <c r="W71" s="106"/>
      <c r="X71" s="106"/>
      <c r="Y71" s="106"/>
      <c r="Z71" s="106"/>
    </row>
    <row r="72" spans="1:26" s="207" customFormat="1" ht="15.75" customHeight="1" hidden="1">
      <c r="A72" s="135">
        <v>4212</v>
      </c>
      <c r="B72" s="129" t="s">
        <v>127</v>
      </c>
      <c r="C72" s="130">
        <f>+SUM(D72:L72)</f>
        <v>19374659</v>
      </c>
      <c r="D72" s="140">
        <v>1545073</v>
      </c>
      <c r="E72" s="140"/>
      <c r="F72" s="140"/>
      <c r="G72" s="140"/>
      <c r="H72" s="140"/>
      <c r="I72" s="140">
        <f>19374659-1545073</f>
        <v>17829586</v>
      </c>
      <c r="J72" s="140"/>
      <c r="K72" s="140"/>
      <c r="L72" s="140"/>
      <c r="M72" s="130"/>
      <c r="N72" s="141"/>
      <c r="V72" s="106"/>
      <c r="W72" s="106"/>
      <c r="X72" s="106"/>
      <c r="Y72" s="203"/>
      <c r="Z72" s="106"/>
    </row>
    <row r="73" spans="1:25" ht="15.75">
      <c r="A73" s="284" t="s">
        <v>90</v>
      </c>
      <c r="B73" s="285"/>
      <c r="C73" s="143">
        <f>C69</f>
        <v>19374659</v>
      </c>
      <c r="D73" s="143">
        <f aca="true" t="shared" si="25" ref="D73:M73">D69</f>
        <v>1545073</v>
      </c>
      <c r="E73" s="143">
        <f t="shared" si="25"/>
        <v>0</v>
      </c>
      <c r="F73" s="143">
        <f t="shared" si="25"/>
        <v>0</v>
      </c>
      <c r="G73" s="143">
        <f t="shared" si="25"/>
        <v>0</v>
      </c>
      <c r="H73" s="143">
        <f t="shared" si="25"/>
        <v>0</v>
      </c>
      <c r="I73" s="143">
        <f t="shared" si="25"/>
        <v>17829586</v>
      </c>
      <c r="J73" s="143">
        <f t="shared" si="25"/>
        <v>0</v>
      </c>
      <c r="K73" s="143">
        <f t="shared" si="25"/>
        <v>0</v>
      </c>
      <c r="L73" s="143">
        <f t="shared" si="25"/>
        <v>0</v>
      </c>
      <c r="M73" s="143">
        <f t="shared" si="25"/>
        <v>19374659</v>
      </c>
      <c r="N73" s="143">
        <f>N69</f>
        <v>0</v>
      </c>
      <c r="W73" s="208"/>
      <c r="X73" s="208"/>
      <c r="Y73" s="203"/>
    </row>
    <row r="74" spans="1:26" ht="15.75">
      <c r="A74" s="145"/>
      <c r="B74" s="145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Y74" s="127"/>
      <c r="Z74" s="127"/>
    </row>
    <row r="75" spans="1:14" ht="32.25" customHeight="1">
      <c r="A75" s="103" t="s">
        <v>34</v>
      </c>
      <c r="B75" s="104" t="s">
        <v>132</v>
      </c>
      <c r="C75" s="105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 ht="25.5">
      <c r="A76" s="137">
        <v>4</v>
      </c>
      <c r="B76" s="133" t="s">
        <v>93</v>
      </c>
      <c r="C76" s="102">
        <f>C77</f>
        <v>40744139</v>
      </c>
      <c r="D76" s="102">
        <f aca="true" t="shared" si="26" ref="D76:M78">D77</f>
        <v>3136967</v>
      </c>
      <c r="E76" s="102">
        <f t="shared" si="26"/>
        <v>0</v>
      </c>
      <c r="F76" s="102">
        <f t="shared" si="26"/>
        <v>0</v>
      </c>
      <c r="G76" s="102">
        <f t="shared" si="26"/>
        <v>0</v>
      </c>
      <c r="H76" s="102">
        <f t="shared" si="26"/>
        <v>0</v>
      </c>
      <c r="I76" s="102">
        <f t="shared" si="26"/>
        <v>37607172</v>
      </c>
      <c r="J76" s="102">
        <f t="shared" si="26"/>
        <v>0</v>
      </c>
      <c r="K76" s="102">
        <f t="shared" si="26"/>
        <v>0</v>
      </c>
      <c r="L76" s="102">
        <f t="shared" si="26"/>
        <v>0</v>
      </c>
      <c r="M76" s="102">
        <f t="shared" si="26"/>
        <v>40744139</v>
      </c>
      <c r="N76" s="102">
        <f>N77</f>
        <v>0</v>
      </c>
    </row>
    <row r="77" spans="1:24" ht="33.75" customHeight="1">
      <c r="A77" s="137">
        <v>42</v>
      </c>
      <c r="B77" s="133" t="s">
        <v>94</v>
      </c>
      <c r="C77" s="102">
        <f>C78</f>
        <v>40744139</v>
      </c>
      <c r="D77" s="102">
        <f t="shared" si="26"/>
        <v>3136967</v>
      </c>
      <c r="E77" s="102">
        <f t="shared" si="26"/>
        <v>0</v>
      </c>
      <c r="F77" s="102">
        <f t="shared" si="26"/>
        <v>0</v>
      </c>
      <c r="G77" s="102">
        <f t="shared" si="26"/>
        <v>0</v>
      </c>
      <c r="H77" s="102">
        <f t="shared" si="26"/>
        <v>0</v>
      </c>
      <c r="I77" s="102">
        <f t="shared" si="26"/>
        <v>37607172</v>
      </c>
      <c r="J77" s="102">
        <f t="shared" si="26"/>
        <v>0</v>
      </c>
      <c r="K77" s="102">
        <f t="shared" si="26"/>
        <v>0</v>
      </c>
      <c r="L77" s="102">
        <f t="shared" si="26"/>
        <v>0</v>
      </c>
      <c r="M77" s="102">
        <v>40744139</v>
      </c>
      <c r="N77" s="102">
        <v>0</v>
      </c>
      <c r="V77" s="127"/>
      <c r="W77" s="127"/>
      <c r="X77" s="127"/>
    </row>
    <row r="78" spans="1:24" s="127" customFormat="1" ht="15.75">
      <c r="A78" s="137">
        <v>421</v>
      </c>
      <c r="B78" s="133" t="s">
        <v>95</v>
      </c>
      <c r="C78" s="134">
        <f>C79</f>
        <v>40744139</v>
      </c>
      <c r="D78" s="134">
        <f t="shared" si="26"/>
        <v>3136967</v>
      </c>
      <c r="E78" s="134">
        <f t="shared" si="26"/>
        <v>0</v>
      </c>
      <c r="F78" s="134">
        <f t="shared" si="26"/>
        <v>0</v>
      </c>
      <c r="G78" s="134">
        <f t="shared" si="26"/>
        <v>0</v>
      </c>
      <c r="H78" s="134">
        <f t="shared" si="26"/>
        <v>0</v>
      </c>
      <c r="I78" s="134">
        <f t="shared" si="26"/>
        <v>37607172</v>
      </c>
      <c r="J78" s="134">
        <f t="shared" si="26"/>
        <v>0</v>
      </c>
      <c r="K78" s="134">
        <f t="shared" si="26"/>
        <v>0</v>
      </c>
      <c r="L78" s="134">
        <f t="shared" si="26"/>
        <v>0</v>
      </c>
      <c r="M78" s="134"/>
      <c r="N78" s="126"/>
      <c r="V78" s="106"/>
      <c r="W78" s="106"/>
      <c r="X78" s="106"/>
    </row>
    <row r="79" spans="1:14" ht="0.75" customHeight="1">
      <c r="A79" s="135">
        <v>4212</v>
      </c>
      <c r="B79" s="129" t="s">
        <v>128</v>
      </c>
      <c r="C79" s="130">
        <f>+SUM(D79:L79)</f>
        <v>40744139</v>
      </c>
      <c r="D79" s="140">
        <v>3136967</v>
      </c>
      <c r="E79" s="140"/>
      <c r="F79" s="140"/>
      <c r="G79" s="140"/>
      <c r="H79" s="140"/>
      <c r="I79" s="140">
        <f>40744139-3136967</f>
        <v>37607172</v>
      </c>
      <c r="J79" s="140"/>
      <c r="K79" s="140"/>
      <c r="L79" s="140"/>
      <c r="M79" s="130"/>
      <c r="N79" s="141"/>
    </row>
    <row r="80" spans="1:14" ht="15.75">
      <c r="A80" s="284" t="s">
        <v>90</v>
      </c>
      <c r="B80" s="285"/>
      <c r="C80" s="143">
        <f>C76</f>
        <v>40744139</v>
      </c>
      <c r="D80" s="143">
        <f aca="true" t="shared" si="27" ref="D80:M80">D76</f>
        <v>3136967</v>
      </c>
      <c r="E80" s="143">
        <f t="shared" si="27"/>
        <v>0</v>
      </c>
      <c r="F80" s="143">
        <f t="shared" si="27"/>
        <v>0</v>
      </c>
      <c r="G80" s="143">
        <f t="shared" si="27"/>
        <v>0</v>
      </c>
      <c r="H80" s="143">
        <f t="shared" si="27"/>
        <v>0</v>
      </c>
      <c r="I80" s="143">
        <f t="shared" si="27"/>
        <v>37607172</v>
      </c>
      <c r="J80" s="143">
        <f t="shared" si="27"/>
        <v>0</v>
      </c>
      <c r="K80" s="143">
        <f t="shared" si="27"/>
        <v>0</v>
      </c>
      <c r="L80" s="143">
        <f t="shared" si="27"/>
        <v>0</v>
      </c>
      <c r="M80" s="143">
        <f t="shared" si="27"/>
        <v>40744139</v>
      </c>
      <c r="N80" s="143">
        <f>N76</f>
        <v>0</v>
      </c>
    </row>
    <row r="81" spans="1:24" ht="15.75">
      <c r="A81" s="145"/>
      <c r="B81" s="148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V81" s="144"/>
      <c r="W81" s="144"/>
      <c r="X81" s="144"/>
    </row>
    <row r="82" spans="1:23" s="144" customFormat="1" ht="17.25" customHeight="1">
      <c r="A82" s="145"/>
      <c r="B82" s="148" t="s">
        <v>133</v>
      </c>
      <c r="C82" s="147">
        <f>C73+C80</f>
        <v>60118798</v>
      </c>
      <c r="D82" s="147">
        <f aca="true" t="shared" si="28" ref="D82:N82">D73+D80</f>
        <v>4682040</v>
      </c>
      <c r="E82" s="147">
        <f t="shared" si="28"/>
        <v>0</v>
      </c>
      <c r="F82" s="147">
        <f t="shared" si="28"/>
        <v>0</v>
      </c>
      <c r="G82" s="147">
        <f t="shared" si="28"/>
        <v>0</v>
      </c>
      <c r="H82" s="147">
        <f t="shared" si="28"/>
        <v>0</v>
      </c>
      <c r="I82" s="147">
        <f t="shared" si="28"/>
        <v>55436758</v>
      </c>
      <c r="J82" s="147">
        <f t="shared" si="28"/>
        <v>0</v>
      </c>
      <c r="K82" s="147">
        <f t="shared" si="28"/>
        <v>0</v>
      </c>
      <c r="L82" s="147">
        <f t="shared" si="28"/>
        <v>0</v>
      </c>
      <c r="M82" s="147">
        <f t="shared" si="28"/>
        <v>60118798</v>
      </c>
      <c r="N82" s="147">
        <f t="shared" si="28"/>
        <v>0</v>
      </c>
      <c r="O82" s="147"/>
      <c r="P82" s="147"/>
      <c r="T82" s="147"/>
      <c r="V82" s="147"/>
      <c r="W82" s="147"/>
    </row>
    <row r="83" spans="1:23" s="144" customFormat="1" ht="16.5" customHeight="1">
      <c r="A83" s="145"/>
      <c r="B83" s="145"/>
      <c r="C83" s="147"/>
      <c r="D83" s="147"/>
      <c r="E83" s="147"/>
      <c r="F83" s="147"/>
      <c r="G83" s="147"/>
      <c r="J83" s="147"/>
      <c r="K83" s="147"/>
      <c r="L83" s="147"/>
      <c r="M83" s="147"/>
      <c r="O83" s="147"/>
      <c r="P83" s="147"/>
      <c r="V83" s="147"/>
      <c r="W83" s="147"/>
    </row>
    <row r="84" spans="1:24" s="144" customFormat="1" ht="16.5" customHeight="1">
      <c r="A84" s="145"/>
      <c r="B84" s="197" t="s">
        <v>96</v>
      </c>
      <c r="C84" s="147"/>
      <c r="D84" s="147"/>
      <c r="E84" s="147"/>
      <c r="F84" s="147"/>
      <c r="G84" s="147"/>
      <c r="J84" s="147"/>
      <c r="K84" s="147"/>
      <c r="L84" s="147"/>
      <c r="M84" s="147"/>
      <c r="N84" s="147"/>
      <c r="O84" s="147"/>
      <c r="P84" s="147"/>
      <c r="V84" s="147"/>
      <c r="W84" s="147"/>
      <c r="X84" s="147"/>
    </row>
    <row r="85" spans="1:16" s="144" customFormat="1" ht="26.25" customHeight="1">
      <c r="A85" s="148" t="s">
        <v>33</v>
      </c>
      <c r="B85" s="149" t="s">
        <v>97</v>
      </c>
      <c r="C85" s="147"/>
      <c r="D85" s="147"/>
      <c r="E85" s="147"/>
      <c r="F85" s="147"/>
      <c r="G85" s="147"/>
      <c r="J85" s="147"/>
      <c r="K85" s="147"/>
      <c r="L85" s="147"/>
      <c r="M85" s="147"/>
      <c r="N85" s="147"/>
      <c r="O85" s="147"/>
      <c r="P85" s="147"/>
    </row>
    <row r="86" spans="1:16" s="119" customFormat="1" ht="14.25" customHeight="1">
      <c r="A86" s="121">
        <v>3</v>
      </c>
      <c r="B86" s="122" t="s">
        <v>56</v>
      </c>
      <c r="C86" s="123">
        <f aca="true" t="shared" si="29" ref="C86:N86">C87+C93</f>
        <v>525000</v>
      </c>
      <c r="D86" s="123">
        <f t="shared" si="29"/>
        <v>525000</v>
      </c>
      <c r="E86" s="123">
        <f t="shared" si="29"/>
        <v>0</v>
      </c>
      <c r="F86" s="123">
        <f t="shared" si="29"/>
        <v>0</v>
      </c>
      <c r="G86" s="123">
        <f t="shared" si="29"/>
        <v>0</v>
      </c>
      <c r="H86" s="123">
        <f t="shared" si="29"/>
        <v>0</v>
      </c>
      <c r="I86" s="123">
        <f t="shared" si="29"/>
        <v>0</v>
      </c>
      <c r="J86" s="123">
        <f t="shared" si="29"/>
        <v>0</v>
      </c>
      <c r="K86" s="123">
        <f t="shared" si="29"/>
        <v>0</v>
      </c>
      <c r="L86" s="123">
        <f t="shared" si="29"/>
        <v>0</v>
      </c>
      <c r="M86" s="123">
        <f t="shared" si="29"/>
        <v>525000</v>
      </c>
      <c r="N86" s="123">
        <f t="shared" si="29"/>
        <v>525000</v>
      </c>
      <c r="O86" s="118"/>
      <c r="P86" s="118"/>
    </row>
    <row r="87" spans="1:16" ht="14.25" customHeight="1">
      <c r="A87" s="124">
        <v>31</v>
      </c>
      <c r="B87" s="125" t="s">
        <v>21</v>
      </c>
      <c r="C87" s="102">
        <f aca="true" t="shared" si="30" ref="C87:L87">C88+C90</f>
        <v>515000</v>
      </c>
      <c r="D87" s="102">
        <f t="shared" si="30"/>
        <v>515000</v>
      </c>
      <c r="E87" s="102">
        <f t="shared" si="30"/>
        <v>0</v>
      </c>
      <c r="F87" s="102">
        <f t="shared" si="30"/>
        <v>0</v>
      </c>
      <c r="G87" s="102">
        <f t="shared" si="30"/>
        <v>0</v>
      </c>
      <c r="H87" s="102">
        <f t="shared" si="30"/>
        <v>0</v>
      </c>
      <c r="I87" s="102">
        <f t="shared" si="30"/>
        <v>0</v>
      </c>
      <c r="J87" s="102">
        <f t="shared" si="30"/>
        <v>0</v>
      </c>
      <c r="K87" s="102">
        <f t="shared" si="30"/>
        <v>0</v>
      </c>
      <c r="L87" s="102">
        <f t="shared" si="30"/>
        <v>0</v>
      </c>
      <c r="M87" s="102">
        <v>515000</v>
      </c>
      <c r="N87" s="126">
        <v>515000</v>
      </c>
      <c r="O87" s="127">
        <f>SUM(O89:O89)</f>
        <v>0</v>
      </c>
      <c r="P87" s="127">
        <f>SUM(P89:P89)</f>
        <v>0</v>
      </c>
    </row>
    <row r="88" spans="1:16" ht="12.75" customHeight="1">
      <c r="A88" s="124">
        <v>311</v>
      </c>
      <c r="B88" s="125" t="s">
        <v>57</v>
      </c>
      <c r="C88" s="102">
        <f>C89</f>
        <v>439420</v>
      </c>
      <c r="D88" s="102">
        <f aca="true" t="shared" si="31" ref="D88:L88">D89</f>
        <v>439420</v>
      </c>
      <c r="E88" s="102">
        <f t="shared" si="31"/>
        <v>0</v>
      </c>
      <c r="F88" s="102">
        <f t="shared" si="31"/>
        <v>0</v>
      </c>
      <c r="G88" s="102">
        <f t="shared" si="31"/>
        <v>0</v>
      </c>
      <c r="H88" s="102">
        <f t="shared" si="31"/>
        <v>0</v>
      </c>
      <c r="I88" s="102">
        <f t="shared" si="31"/>
        <v>0</v>
      </c>
      <c r="J88" s="102">
        <f t="shared" si="31"/>
        <v>0</v>
      </c>
      <c r="K88" s="102">
        <f t="shared" si="31"/>
        <v>0</v>
      </c>
      <c r="L88" s="102">
        <f t="shared" si="31"/>
        <v>0</v>
      </c>
      <c r="M88" s="102"/>
      <c r="N88" s="126"/>
      <c r="O88" s="127"/>
      <c r="P88" s="127"/>
    </row>
    <row r="89" spans="1:16" ht="14.25" customHeight="1" hidden="1">
      <c r="A89" s="128">
        <v>3111</v>
      </c>
      <c r="B89" s="129" t="s">
        <v>58</v>
      </c>
      <c r="C89" s="130">
        <f>+SUM(D89:L89)</f>
        <v>439420</v>
      </c>
      <c r="D89" s="130">
        <v>439420</v>
      </c>
      <c r="E89" s="130">
        <v>0</v>
      </c>
      <c r="F89" s="130"/>
      <c r="G89" s="130">
        <v>0</v>
      </c>
      <c r="H89" s="130"/>
      <c r="I89" s="130"/>
      <c r="J89" s="130"/>
      <c r="K89" s="130"/>
      <c r="L89" s="130"/>
      <c r="M89" s="130"/>
      <c r="N89" s="131"/>
      <c r="O89" s="106">
        <v>0</v>
      </c>
      <c r="P89" s="106">
        <v>0</v>
      </c>
    </row>
    <row r="90" spans="1:14" s="127" customFormat="1" ht="13.5" customHeight="1">
      <c r="A90" s="137">
        <v>313</v>
      </c>
      <c r="B90" s="133" t="s">
        <v>22</v>
      </c>
      <c r="C90" s="134">
        <f>SUM(C91:C92)</f>
        <v>75580</v>
      </c>
      <c r="D90" s="134">
        <f>SUM(D91:D92)</f>
        <v>75580</v>
      </c>
      <c r="E90" s="134">
        <f aca="true" t="shared" si="32" ref="E90:L90">SUM(E91:E92)</f>
        <v>0</v>
      </c>
      <c r="F90" s="134">
        <f t="shared" si="32"/>
        <v>0</v>
      </c>
      <c r="G90" s="134">
        <f t="shared" si="32"/>
        <v>0</v>
      </c>
      <c r="H90" s="134">
        <f t="shared" si="32"/>
        <v>0</v>
      </c>
      <c r="I90" s="134">
        <f t="shared" si="32"/>
        <v>0</v>
      </c>
      <c r="J90" s="134">
        <f t="shared" si="32"/>
        <v>0</v>
      </c>
      <c r="K90" s="134">
        <f t="shared" si="32"/>
        <v>0</v>
      </c>
      <c r="L90" s="134">
        <f t="shared" si="32"/>
        <v>0</v>
      </c>
      <c r="M90" s="134"/>
      <c r="N90" s="107"/>
    </row>
    <row r="91" spans="1:16" ht="13.5" customHeight="1" hidden="1">
      <c r="A91" s="135">
        <v>3132</v>
      </c>
      <c r="B91" s="129" t="s">
        <v>60</v>
      </c>
      <c r="C91" s="130">
        <f>+SUM(D91:L91)</f>
        <v>68110</v>
      </c>
      <c r="D91" s="138">
        <v>68110</v>
      </c>
      <c r="E91" s="138"/>
      <c r="F91" s="138"/>
      <c r="G91" s="138"/>
      <c r="H91" s="138"/>
      <c r="I91" s="138"/>
      <c r="J91" s="138"/>
      <c r="K91" s="138"/>
      <c r="L91" s="138"/>
      <c r="M91" s="130"/>
      <c r="N91" s="131"/>
      <c r="O91" s="106">
        <v>0</v>
      </c>
      <c r="P91" s="106">
        <v>0</v>
      </c>
    </row>
    <row r="92" spans="1:14" ht="13.5" customHeight="1" hidden="1">
      <c r="A92" s="135">
        <v>3133</v>
      </c>
      <c r="B92" s="129" t="s">
        <v>61</v>
      </c>
      <c r="C92" s="130">
        <f>+SUM(D92:L92)</f>
        <v>7470</v>
      </c>
      <c r="D92" s="139">
        <v>7470</v>
      </c>
      <c r="E92" s="139"/>
      <c r="F92" s="139"/>
      <c r="G92" s="139"/>
      <c r="H92" s="139"/>
      <c r="I92" s="139"/>
      <c r="J92" s="139"/>
      <c r="K92" s="139"/>
      <c r="L92" s="139"/>
      <c r="M92" s="140"/>
      <c r="N92" s="141"/>
    </row>
    <row r="93" spans="1:16" ht="14.25" customHeight="1">
      <c r="A93" s="137">
        <v>32</v>
      </c>
      <c r="B93" s="133" t="s">
        <v>23</v>
      </c>
      <c r="C93" s="102">
        <f aca="true" t="shared" si="33" ref="C93:L94">C94</f>
        <v>10000</v>
      </c>
      <c r="D93" s="102">
        <f t="shared" si="33"/>
        <v>10000</v>
      </c>
      <c r="E93" s="102">
        <f t="shared" si="33"/>
        <v>0</v>
      </c>
      <c r="F93" s="102">
        <f t="shared" si="33"/>
        <v>0</v>
      </c>
      <c r="G93" s="102">
        <f t="shared" si="33"/>
        <v>0</v>
      </c>
      <c r="H93" s="102">
        <f t="shared" si="33"/>
        <v>0</v>
      </c>
      <c r="I93" s="102">
        <f t="shared" si="33"/>
        <v>0</v>
      </c>
      <c r="J93" s="102">
        <f t="shared" si="33"/>
        <v>0</v>
      </c>
      <c r="K93" s="102">
        <f t="shared" si="33"/>
        <v>0</v>
      </c>
      <c r="L93" s="102">
        <f t="shared" si="33"/>
        <v>0</v>
      </c>
      <c r="M93" s="102">
        <v>10000</v>
      </c>
      <c r="N93" s="126">
        <v>10000</v>
      </c>
      <c r="O93" s="106">
        <v>0</v>
      </c>
      <c r="P93" s="106">
        <v>0</v>
      </c>
    </row>
    <row r="94" spans="1:14" s="127" customFormat="1" ht="14.25" customHeight="1">
      <c r="A94" s="137">
        <v>321</v>
      </c>
      <c r="B94" s="133" t="s">
        <v>24</v>
      </c>
      <c r="C94" s="102">
        <f t="shared" si="33"/>
        <v>10000</v>
      </c>
      <c r="D94" s="102">
        <f t="shared" si="33"/>
        <v>10000</v>
      </c>
      <c r="E94" s="102">
        <f t="shared" si="33"/>
        <v>0</v>
      </c>
      <c r="F94" s="102">
        <f t="shared" si="33"/>
        <v>0</v>
      </c>
      <c r="G94" s="102">
        <f t="shared" si="33"/>
        <v>0</v>
      </c>
      <c r="H94" s="102">
        <f t="shared" si="33"/>
        <v>0</v>
      </c>
      <c r="I94" s="102">
        <f t="shared" si="33"/>
        <v>0</v>
      </c>
      <c r="J94" s="102">
        <f t="shared" si="33"/>
        <v>0</v>
      </c>
      <c r="K94" s="102">
        <f t="shared" si="33"/>
        <v>0</v>
      </c>
      <c r="L94" s="102">
        <f t="shared" si="33"/>
        <v>0</v>
      </c>
      <c r="M94" s="102"/>
      <c r="N94" s="126"/>
    </row>
    <row r="95" spans="1:14" ht="0.75" customHeight="1">
      <c r="A95" s="135">
        <v>3214</v>
      </c>
      <c r="B95" s="129" t="s">
        <v>65</v>
      </c>
      <c r="C95" s="130">
        <f>SUM(D95:L95)</f>
        <v>10000</v>
      </c>
      <c r="D95" s="136">
        <v>10000</v>
      </c>
      <c r="E95" s="136"/>
      <c r="F95" s="136"/>
      <c r="G95" s="136"/>
      <c r="H95" s="136"/>
      <c r="I95" s="136"/>
      <c r="J95" s="136"/>
      <c r="K95" s="136"/>
      <c r="L95" s="136"/>
      <c r="M95" s="130"/>
      <c r="N95" s="131"/>
    </row>
    <row r="96" spans="1:16" s="144" customFormat="1" ht="32.25" customHeight="1">
      <c r="A96" s="284" t="s">
        <v>90</v>
      </c>
      <c r="B96" s="285"/>
      <c r="C96" s="143">
        <f>C86</f>
        <v>525000</v>
      </c>
      <c r="D96" s="143">
        <f>D86</f>
        <v>525000</v>
      </c>
      <c r="E96" s="143">
        <f aca="true" t="shared" si="34" ref="E96:L96">E86</f>
        <v>0</v>
      </c>
      <c r="F96" s="143">
        <f t="shared" si="34"/>
        <v>0</v>
      </c>
      <c r="G96" s="143">
        <f t="shared" si="34"/>
        <v>0</v>
      </c>
      <c r="H96" s="143">
        <f t="shared" si="34"/>
        <v>0</v>
      </c>
      <c r="I96" s="143">
        <f t="shared" si="34"/>
        <v>0</v>
      </c>
      <c r="J96" s="143">
        <f t="shared" si="34"/>
        <v>0</v>
      </c>
      <c r="K96" s="143">
        <f t="shared" si="34"/>
        <v>0</v>
      </c>
      <c r="L96" s="143">
        <f t="shared" si="34"/>
        <v>0</v>
      </c>
      <c r="M96" s="143">
        <f>M86</f>
        <v>525000</v>
      </c>
      <c r="N96" s="143">
        <f>N86</f>
        <v>525000</v>
      </c>
      <c r="O96" s="143" t="e">
        <f>O21+#REF!</f>
        <v>#REF!</v>
      </c>
      <c r="P96" s="143" t="e">
        <f>P21+#REF!</f>
        <v>#REF!</v>
      </c>
    </row>
    <row r="97" spans="1:16" s="144" customFormat="1" ht="14.25" customHeight="1">
      <c r="A97" s="145"/>
      <c r="B97" s="150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</row>
    <row r="98" spans="1:16" s="144" customFormat="1" ht="14.25" customHeight="1">
      <c r="A98" s="145"/>
      <c r="B98" s="150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</row>
    <row r="99" spans="1:16" s="144" customFormat="1" ht="16.5" customHeight="1">
      <c r="A99" s="148" t="s">
        <v>33</v>
      </c>
      <c r="B99" s="149" t="s">
        <v>98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</row>
    <row r="100" spans="1:16" s="119" customFormat="1" ht="14.25" customHeight="1">
      <c r="A100" s="121">
        <v>3</v>
      </c>
      <c r="B100" s="122" t="s">
        <v>56</v>
      </c>
      <c r="C100" s="123">
        <f aca="true" t="shared" si="35" ref="C100:N100">C101</f>
        <v>70000</v>
      </c>
      <c r="D100" s="123">
        <f t="shared" si="35"/>
        <v>70000</v>
      </c>
      <c r="E100" s="123">
        <f t="shared" si="35"/>
        <v>0</v>
      </c>
      <c r="F100" s="123">
        <f t="shared" si="35"/>
        <v>0</v>
      </c>
      <c r="G100" s="123">
        <f t="shared" si="35"/>
        <v>0</v>
      </c>
      <c r="H100" s="123">
        <f t="shared" si="35"/>
        <v>0</v>
      </c>
      <c r="I100" s="123">
        <f t="shared" si="35"/>
        <v>0</v>
      </c>
      <c r="J100" s="123">
        <f t="shared" si="35"/>
        <v>0</v>
      </c>
      <c r="K100" s="123">
        <f t="shared" si="35"/>
        <v>0</v>
      </c>
      <c r="L100" s="123">
        <f t="shared" si="35"/>
        <v>0</v>
      </c>
      <c r="M100" s="123">
        <f t="shared" si="35"/>
        <v>70000</v>
      </c>
      <c r="N100" s="123">
        <f t="shared" si="35"/>
        <v>70000</v>
      </c>
      <c r="O100" s="118"/>
      <c r="P100" s="118"/>
    </row>
    <row r="101" spans="1:16" ht="14.25" customHeight="1">
      <c r="A101" s="124">
        <v>31</v>
      </c>
      <c r="B101" s="125" t="s">
        <v>21</v>
      </c>
      <c r="C101" s="102">
        <f aca="true" t="shared" si="36" ref="C101:L101">C102+C104</f>
        <v>70000</v>
      </c>
      <c r="D101" s="102">
        <f t="shared" si="36"/>
        <v>70000</v>
      </c>
      <c r="E101" s="102">
        <f t="shared" si="36"/>
        <v>0</v>
      </c>
      <c r="F101" s="102">
        <f t="shared" si="36"/>
        <v>0</v>
      </c>
      <c r="G101" s="102">
        <f t="shared" si="36"/>
        <v>0</v>
      </c>
      <c r="H101" s="102">
        <f t="shared" si="36"/>
        <v>0</v>
      </c>
      <c r="I101" s="102">
        <f t="shared" si="36"/>
        <v>0</v>
      </c>
      <c r="J101" s="102">
        <f t="shared" si="36"/>
        <v>0</v>
      </c>
      <c r="K101" s="102">
        <f t="shared" si="36"/>
        <v>0</v>
      </c>
      <c r="L101" s="102">
        <f t="shared" si="36"/>
        <v>0</v>
      </c>
      <c r="M101" s="102">
        <v>70000</v>
      </c>
      <c r="N101" s="126">
        <v>70000</v>
      </c>
      <c r="O101" s="127">
        <f>SUM(O103:O103)</f>
        <v>0</v>
      </c>
      <c r="P101" s="127">
        <f>SUM(P103:P103)</f>
        <v>0</v>
      </c>
    </row>
    <row r="102" spans="1:16" ht="12.75" customHeight="1">
      <c r="A102" s="124">
        <v>311</v>
      </c>
      <c r="B102" s="125" t="s">
        <v>57</v>
      </c>
      <c r="C102" s="102">
        <f>C103</f>
        <v>59727</v>
      </c>
      <c r="D102" s="102">
        <f aca="true" t="shared" si="37" ref="D102:L102">D103</f>
        <v>59727</v>
      </c>
      <c r="E102" s="102">
        <f t="shared" si="37"/>
        <v>0</v>
      </c>
      <c r="F102" s="102">
        <f t="shared" si="37"/>
        <v>0</v>
      </c>
      <c r="G102" s="102">
        <f t="shared" si="37"/>
        <v>0</v>
      </c>
      <c r="H102" s="102">
        <f t="shared" si="37"/>
        <v>0</v>
      </c>
      <c r="I102" s="102">
        <f t="shared" si="37"/>
        <v>0</v>
      </c>
      <c r="J102" s="102">
        <f t="shared" si="37"/>
        <v>0</v>
      </c>
      <c r="K102" s="102">
        <f t="shared" si="37"/>
        <v>0</v>
      </c>
      <c r="L102" s="102">
        <f t="shared" si="37"/>
        <v>0</v>
      </c>
      <c r="M102" s="102"/>
      <c r="N102" s="126"/>
      <c r="O102" s="127"/>
      <c r="P102" s="127"/>
    </row>
    <row r="103" spans="1:16" ht="0.75" customHeight="1">
      <c r="A103" s="128">
        <v>3111</v>
      </c>
      <c r="B103" s="129" t="s">
        <v>58</v>
      </c>
      <c r="C103" s="130">
        <f>+SUM(D103:L103)</f>
        <v>59727</v>
      </c>
      <c r="D103" s="130">
        <v>59727</v>
      </c>
      <c r="E103" s="130">
        <v>0</v>
      </c>
      <c r="F103" s="130"/>
      <c r="G103" s="130">
        <v>0</v>
      </c>
      <c r="H103" s="130"/>
      <c r="I103" s="130"/>
      <c r="J103" s="130"/>
      <c r="K103" s="130"/>
      <c r="L103" s="130"/>
      <c r="M103" s="130"/>
      <c r="N103" s="131"/>
      <c r="O103" s="106">
        <v>0</v>
      </c>
      <c r="P103" s="106">
        <v>0</v>
      </c>
    </row>
    <row r="104" spans="1:14" s="127" customFormat="1" ht="15" customHeight="1">
      <c r="A104" s="137">
        <v>313</v>
      </c>
      <c r="B104" s="133" t="s">
        <v>22</v>
      </c>
      <c r="C104" s="134">
        <f aca="true" t="shared" si="38" ref="C104:L104">SUM(C105:C106)</f>
        <v>10273</v>
      </c>
      <c r="D104" s="134">
        <f t="shared" si="38"/>
        <v>10273</v>
      </c>
      <c r="E104" s="134">
        <f t="shared" si="38"/>
        <v>0</v>
      </c>
      <c r="F104" s="134">
        <f t="shared" si="38"/>
        <v>0</v>
      </c>
      <c r="G104" s="134">
        <f t="shared" si="38"/>
        <v>0</v>
      </c>
      <c r="H104" s="134">
        <f t="shared" si="38"/>
        <v>0</v>
      </c>
      <c r="I104" s="134">
        <f t="shared" si="38"/>
        <v>0</v>
      </c>
      <c r="J104" s="134">
        <f t="shared" si="38"/>
        <v>0</v>
      </c>
      <c r="K104" s="134">
        <f t="shared" si="38"/>
        <v>0</v>
      </c>
      <c r="L104" s="134">
        <f t="shared" si="38"/>
        <v>0</v>
      </c>
      <c r="M104" s="134"/>
      <c r="N104" s="107"/>
    </row>
    <row r="105" spans="1:16" ht="15" customHeight="1" hidden="1">
      <c r="A105" s="135">
        <v>3132</v>
      </c>
      <c r="B105" s="129" t="s">
        <v>60</v>
      </c>
      <c r="C105" s="130">
        <f>+SUM(D105:L105)</f>
        <v>9258</v>
      </c>
      <c r="D105" s="138">
        <v>9258</v>
      </c>
      <c r="E105" s="138"/>
      <c r="F105" s="138"/>
      <c r="G105" s="138"/>
      <c r="H105" s="138"/>
      <c r="I105" s="138"/>
      <c r="J105" s="138"/>
      <c r="K105" s="138"/>
      <c r="L105" s="138"/>
      <c r="M105" s="130"/>
      <c r="N105" s="131"/>
      <c r="O105" s="106">
        <v>0</v>
      </c>
      <c r="P105" s="106">
        <v>0</v>
      </c>
    </row>
    <row r="106" spans="1:14" ht="15" customHeight="1" hidden="1">
      <c r="A106" s="135">
        <v>3133</v>
      </c>
      <c r="B106" s="129" t="s">
        <v>61</v>
      </c>
      <c r="C106" s="130">
        <f>+SUM(D106:L106)</f>
        <v>1015</v>
      </c>
      <c r="D106" s="139">
        <v>1015</v>
      </c>
      <c r="E106" s="139"/>
      <c r="F106" s="139"/>
      <c r="G106" s="139"/>
      <c r="H106" s="139"/>
      <c r="I106" s="139"/>
      <c r="J106" s="139"/>
      <c r="K106" s="139"/>
      <c r="L106" s="139"/>
      <c r="M106" s="140"/>
      <c r="N106" s="141"/>
    </row>
    <row r="107" spans="1:16" s="144" customFormat="1" ht="32.25" customHeight="1">
      <c r="A107" s="284" t="s">
        <v>90</v>
      </c>
      <c r="B107" s="285"/>
      <c r="C107" s="143">
        <f>C100</f>
        <v>70000</v>
      </c>
      <c r="D107" s="143">
        <f>D100</f>
        <v>70000</v>
      </c>
      <c r="E107" s="143">
        <f aca="true" t="shared" si="39" ref="E107:N107">E100</f>
        <v>0</v>
      </c>
      <c r="F107" s="143">
        <f t="shared" si="39"/>
        <v>0</v>
      </c>
      <c r="G107" s="143">
        <f t="shared" si="39"/>
        <v>0</v>
      </c>
      <c r="H107" s="143">
        <f t="shared" si="39"/>
        <v>0</v>
      </c>
      <c r="I107" s="143">
        <f t="shared" si="39"/>
        <v>0</v>
      </c>
      <c r="J107" s="143">
        <f t="shared" si="39"/>
        <v>0</v>
      </c>
      <c r="K107" s="143">
        <f t="shared" si="39"/>
        <v>0</v>
      </c>
      <c r="L107" s="143">
        <f t="shared" si="39"/>
        <v>0</v>
      </c>
      <c r="M107" s="143">
        <f t="shared" si="39"/>
        <v>70000</v>
      </c>
      <c r="N107" s="143">
        <f t="shared" si="39"/>
        <v>70000</v>
      </c>
      <c r="O107" s="143">
        <f>O35+O93</f>
        <v>0</v>
      </c>
      <c r="P107" s="143">
        <f>P35+P93</f>
        <v>0</v>
      </c>
    </row>
    <row r="108" spans="1:16" s="144" customFormat="1" ht="14.25" customHeight="1">
      <c r="A108" s="145"/>
      <c r="B108" s="150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</row>
    <row r="109" spans="1:16" s="144" customFormat="1" ht="14.25" customHeight="1">
      <c r="A109" s="145"/>
      <c r="B109" s="150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</row>
    <row r="110" spans="1:16" s="144" customFormat="1" ht="16.5" customHeight="1">
      <c r="A110" s="148" t="s">
        <v>33</v>
      </c>
      <c r="B110" s="149" t="s">
        <v>99</v>
      </c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</row>
    <row r="111" spans="1:16" s="119" customFormat="1" ht="14.25" customHeight="1">
      <c r="A111" s="121">
        <v>3</v>
      </c>
      <c r="B111" s="122" t="s">
        <v>56</v>
      </c>
      <c r="C111" s="123">
        <f aca="true" t="shared" si="40" ref="C111:N111">C112</f>
        <v>70000</v>
      </c>
      <c r="D111" s="123">
        <f t="shared" si="40"/>
        <v>70000</v>
      </c>
      <c r="E111" s="123">
        <f t="shared" si="40"/>
        <v>0</v>
      </c>
      <c r="F111" s="123">
        <f t="shared" si="40"/>
        <v>0</v>
      </c>
      <c r="G111" s="123">
        <f t="shared" si="40"/>
        <v>0</v>
      </c>
      <c r="H111" s="123">
        <f t="shared" si="40"/>
        <v>0</v>
      </c>
      <c r="I111" s="123">
        <f t="shared" si="40"/>
        <v>0</v>
      </c>
      <c r="J111" s="123">
        <f t="shared" si="40"/>
        <v>0</v>
      </c>
      <c r="K111" s="123">
        <f t="shared" si="40"/>
        <v>0</v>
      </c>
      <c r="L111" s="123">
        <f t="shared" si="40"/>
        <v>0</v>
      </c>
      <c r="M111" s="123">
        <f t="shared" si="40"/>
        <v>70000</v>
      </c>
      <c r="N111" s="123">
        <f t="shared" si="40"/>
        <v>70000</v>
      </c>
      <c r="O111" s="118"/>
      <c r="P111" s="118"/>
    </row>
    <row r="112" spans="1:16" ht="14.25" customHeight="1">
      <c r="A112" s="124">
        <v>31</v>
      </c>
      <c r="B112" s="125" t="s">
        <v>21</v>
      </c>
      <c r="C112" s="102">
        <f aca="true" t="shared" si="41" ref="C112:L112">C113+C115</f>
        <v>70000</v>
      </c>
      <c r="D112" s="102">
        <f t="shared" si="41"/>
        <v>70000</v>
      </c>
      <c r="E112" s="102">
        <f t="shared" si="41"/>
        <v>0</v>
      </c>
      <c r="F112" s="102">
        <f t="shared" si="41"/>
        <v>0</v>
      </c>
      <c r="G112" s="102">
        <f t="shared" si="41"/>
        <v>0</v>
      </c>
      <c r="H112" s="102">
        <f t="shared" si="41"/>
        <v>0</v>
      </c>
      <c r="I112" s="102">
        <f t="shared" si="41"/>
        <v>0</v>
      </c>
      <c r="J112" s="102">
        <f t="shared" si="41"/>
        <v>0</v>
      </c>
      <c r="K112" s="102">
        <f t="shared" si="41"/>
        <v>0</v>
      </c>
      <c r="L112" s="102">
        <f t="shared" si="41"/>
        <v>0</v>
      </c>
      <c r="M112" s="102">
        <v>70000</v>
      </c>
      <c r="N112" s="126">
        <v>70000</v>
      </c>
      <c r="O112" s="127">
        <f>SUM(O114:O114)</f>
        <v>0</v>
      </c>
      <c r="P112" s="127">
        <f>SUM(P114:P114)</f>
        <v>0</v>
      </c>
    </row>
    <row r="113" spans="1:16" ht="13.5" customHeight="1">
      <c r="A113" s="124">
        <v>311</v>
      </c>
      <c r="B113" s="125" t="s">
        <v>57</v>
      </c>
      <c r="C113" s="102">
        <f>C114</f>
        <v>59727</v>
      </c>
      <c r="D113" s="102">
        <f aca="true" t="shared" si="42" ref="D113:L113">D114</f>
        <v>59727</v>
      </c>
      <c r="E113" s="102">
        <f t="shared" si="42"/>
        <v>0</v>
      </c>
      <c r="F113" s="102">
        <f t="shared" si="42"/>
        <v>0</v>
      </c>
      <c r="G113" s="102">
        <f t="shared" si="42"/>
        <v>0</v>
      </c>
      <c r="H113" s="102">
        <f t="shared" si="42"/>
        <v>0</v>
      </c>
      <c r="I113" s="102">
        <f t="shared" si="42"/>
        <v>0</v>
      </c>
      <c r="J113" s="102">
        <f t="shared" si="42"/>
        <v>0</v>
      </c>
      <c r="K113" s="102">
        <f t="shared" si="42"/>
        <v>0</v>
      </c>
      <c r="L113" s="102">
        <f t="shared" si="42"/>
        <v>0</v>
      </c>
      <c r="M113" s="102"/>
      <c r="N113" s="126"/>
      <c r="O113" s="127"/>
      <c r="P113" s="127"/>
    </row>
    <row r="114" spans="1:16" ht="12.75" customHeight="1" hidden="1">
      <c r="A114" s="128">
        <v>3111</v>
      </c>
      <c r="B114" s="129" t="s">
        <v>58</v>
      </c>
      <c r="C114" s="130">
        <f>+SUM(D114:L114)</f>
        <v>59727</v>
      </c>
      <c r="D114" s="130">
        <v>59727</v>
      </c>
      <c r="E114" s="130">
        <v>0</v>
      </c>
      <c r="F114" s="130"/>
      <c r="G114" s="130">
        <v>0</v>
      </c>
      <c r="H114" s="130"/>
      <c r="I114" s="130"/>
      <c r="J114" s="130"/>
      <c r="K114" s="130"/>
      <c r="L114" s="130"/>
      <c r="M114" s="130"/>
      <c r="N114" s="131"/>
      <c r="O114" s="106">
        <v>0</v>
      </c>
      <c r="P114" s="106">
        <v>0</v>
      </c>
    </row>
    <row r="115" spans="1:14" s="127" customFormat="1" ht="13.5" customHeight="1">
      <c r="A115" s="137">
        <v>313</v>
      </c>
      <c r="B115" s="133" t="s">
        <v>22</v>
      </c>
      <c r="C115" s="134">
        <f aca="true" t="shared" si="43" ref="C115:L115">SUM(C116:C117)</f>
        <v>10273</v>
      </c>
      <c r="D115" s="134">
        <f t="shared" si="43"/>
        <v>10273</v>
      </c>
      <c r="E115" s="134">
        <f t="shared" si="43"/>
        <v>0</v>
      </c>
      <c r="F115" s="134">
        <f t="shared" si="43"/>
        <v>0</v>
      </c>
      <c r="G115" s="134">
        <f t="shared" si="43"/>
        <v>0</v>
      </c>
      <c r="H115" s="134">
        <f t="shared" si="43"/>
        <v>0</v>
      </c>
      <c r="I115" s="134">
        <f t="shared" si="43"/>
        <v>0</v>
      </c>
      <c r="J115" s="134">
        <f t="shared" si="43"/>
        <v>0</v>
      </c>
      <c r="K115" s="134">
        <f t="shared" si="43"/>
        <v>0</v>
      </c>
      <c r="L115" s="134">
        <f t="shared" si="43"/>
        <v>0</v>
      </c>
      <c r="M115" s="134"/>
      <c r="N115" s="107"/>
    </row>
    <row r="116" spans="1:16" ht="16.5" customHeight="1" hidden="1">
      <c r="A116" s="135">
        <v>3132</v>
      </c>
      <c r="B116" s="129" t="s">
        <v>60</v>
      </c>
      <c r="C116" s="130">
        <f>+SUM(D116:L116)</f>
        <v>9258</v>
      </c>
      <c r="D116" s="138">
        <v>9258</v>
      </c>
      <c r="E116" s="138"/>
      <c r="F116" s="138"/>
      <c r="G116" s="138"/>
      <c r="H116" s="138"/>
      <c r="I116" s="138"/>
      <c r="J116" s="138"/>
      <c r="K116" s="138"/>
      <c r="L116" s="138"/>
      <c r="M116" s="130"/>
      <c r="N116" s="131"/>
      <c r="O116" s="106">
        <v>0</v>
      </c>
      <c r="P116" s="106">
        <v>0</v>
      </c>
    </row>
    <row r="117" spans="1:14" ht="15.75" customHeight="1" hidden="1">
      <c r="A117" s="135">
        <v>3133</v>
      </c>
      <c r="B117" s="129" t="s">
        <v>61</v>
      </c>
      <c r="C117" s="130">
        <f>+SUM(D117:L117)</f>
        <v>1015</v>
      </c>
      <c r="D117" s="139">
        <v>1015</v>
      </c>
      <c r="E117" s="139"/>
      <c r="F117" s="139"/>
      <c r="G117" s="139"/>
      <c r="H117" s="139"/>
      <c r="I117" s="139"/>
      <c r="J117" s="139"/>
      <c r="K117" s="139"/>
      <c r="L117" s="139"/>
      <c r="M117" s="140"/>
      <c r="N117" s="141"/>
    </row>
    <row r="118" spans="1:16" s="144" customFormat="1" ht="32.25" customHeight="1">
      <c r="A118" s="284" t="s">
        <v>90</v>
      </c>
      <c r="B118" s="285"/>
      <c r="C118" s="143">
        <f>C111</f>
        <v>70000</v>
      </c>
      <c r="D118" s="143">
        <f>D111</f>
        <v>70000</v>
      </c>
      <c r="E118" s="143">
        <f aca="true" t="shared" si="44" ref="E118:N118">E111</f>
        <v>0</v>
      </c>
      <c r="F118" s="143">
        <f t="shared" si="44"/>
        <v>0</v>
      </c>
      <c r="G118" s="143">
        <f t="shared" si="44"/>
        <v>0</v>
      </c>
      <c r="H118" s="143">
        <f t="shared" si="44"/>
        <v>0</v>
      </c>
      <c r="I118" s="143">
        <f t="shared" si="44"/>
        <v>0</v>
      </c>
      <c r="J118" s="143">
        <f t="shared" si="44"/>
        <v>0</v>
      </c>
      <c r="K118" s="143">
        <f t="shared" si="44"/>
        <v>0</v>
      </c>
      <c r="L118" s="143">
        <f t="shared" si="44"/>
        <v>0</v>
      </c>
      <c r="M118" s="143">
        <f t="shared" si="44"/>
        <v>70000</v>
      </c>
      <c r="N118" s="143">
        <f t="shared" si="44"/>
        <v>70000</v>
      </c>
      <c r="O118" s="143">
        <f>O46+O104</f>
        <v>0</v>
      </c>
      <c r="P118" s="143">
        <f>P46+P104</f>
        <v>0</v>
      </c>
    </row>
    <row r="119" spans="1:16" s="144" customFormat="1" ht="14.25" customHeight="1">
      <c r="A119" s="145"/>
      <c r="B119" s="150"/>
      <c r="C119" s="147"/>
      <c r="D119" s="147">
        <f>D118+D107+D96</f>
        <v>665000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</row>
    <row r="120" spans="1:17" s="144" customFormat="1" ht="14.25" customHeight="1">
      <c r="A120" s="145"/>
      <c r="B120" s="150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4">
        <f>N96+N107+N118+2001720</f>
        <v>2666720</v>
      </c>
    </row>
    <row r="121" spans="1:16" s="144" customFormat="1" ht="16.5" customHeight="1">
      <c r="A121" s="145"/>
      <c r="B121" s="197" t="s">
        <v>112</v>
      </c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</row>
    <row r="122" spans="1:16" s="144" customFormat="1" ht="26.25" customHeight="1">
      <c r="A122" s="148" t="s">
        <v>33</v>
      </c>
      <c r="B122" s="149" t="s">
        <v>100</v>
      </c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</row>
    <row r="123" spans="1:16" s="119" customFormat="1" ht="14.25" customHeight="1">
      <c r="A123" s="121">
        <v>3</v>
      </c>
      <c r="B123" s="122" t="s">
        <v>56</v>
      </c>
      <c r="C123" s="123">
        <f>C124+C127</f>
        <v>2592947.93</v>
      </c>
      <c r="D123" s="123">
        <f>D124+D127</f>
        <v>2592947.93</v>
      </c>
      <c r="E123" s="123">
        <f aca="true" t="shared" si="45" ref="E123:L123">E124+E127</f>
        <v>0</v>
      </c>
      <c r="F123" s="123">
        <f t="shared" si="45"/>
        <v>0</v>
      </c>
      <c r="G123" s="123">
        <f t="shared" si="45"/>
        <v>0</v>
      </c>
      <c r="H123" s="123">
        <f t="shared" si="45"/>
        <v>0</v>
      </c>
      <c r="I123" s="123">
        <f t="shared" si="45"/>
        <v>0</v>
      </c>
      <c r="J123" s="123">
        <f t="shared" si="45"/>
        <v>0</v>
      </c>
      <c r="K123" s="123">
        <f t="shared" si="45"/>
        <v>0</v>
      </c>
      <c r="L123" s="123">
        <f t="shared" si="45"/>
        <v>0</v>
      </c>
      <c r="M123" s="123">
        <f>M124+M127</f>
        <v>2592948</v>
      </c>
      <c r="N123" s="123">
        <f>N124+N127</f>
        <v>2592948</v>
      </c>
      <c r="O123" s="118"/>
      <c r="P123" s="118"/>
    </row>
    <row r="124" spans="1:16" ht="14.25" customHeight="1">
      <c r="A124" s="137">
        <v>32</v>
      </c>
      <c r="B124" s="133" t="s">
        <v>23</v>
      </c>
      <c r="C124" s="102">
        <f>C125</f>
        <v>1883900</v>
      </c>
      <c r="D124" s="102">
        <f>D125</f>
        <v>1883900</v>
      </c>
      <c r="E124" s="102">
        <f aca="true" t="shared" si="46" ref="E124:L125">E125</f>
        <v>0</v>
      </c>
      <c r="F124" s="102">
        <f t="shared" si="46"/>
        <v>0</v>
      </c>
      <c r="G124" s="102">
        <f t="shared" si="46"/>
        <v>0</v>
      </c>
      <c r="H124" s="102">
        <f t="shared" si="46"/>
        <v>0</v>
      </c>
      <c r="I124" s="102">
        <f t="shared" si="46"/>
        <v>0</v>
      </c>
      <c r="J124" s="102">
        <f t="shared" si="46"/>
        <v>0</v>
      </c>
      <c r="K124" s="102">
        <f t="shared" si="46"/>
        <v>0</v>
      </c>
      <c r="L124" s="102">
        <f t="shared" si="46"/>
        <v>0</v>
      </c>
      <c r="M124" s="102">
        <v>1883900</v>
      </c>
      <c r="N124" s="126">
        <v>1883900</v>
      </c>
      <c r="O124" s="106">
        <v>0</v>
      </c>
      <c r="P124" s="106">
        <v>0</v>
      </c>
    </row>
    <row r="125" spans="1:14" s="127" customFormat="1" ht="18" customHeight="1">
      <c r="A125" s="137">
        <v>323</v>
      </c>
      <c r="B125" s="133" t="s">
        <v>26</v>
      </c>
      <c r="C125" s="134">
        <f>C126</f>
        <v>1883900</v>
      </c>
      <c r="D125" s="134">
        <f>D126</f>
        <v>1883900</v>
      </c>
      <c r="E125" s="134">
        <f t="shared" si="46"/>
        <v>0</v>
      </c>
      <c r="F125" s="134">
        <f t="shared" si="46"/>
        <v>0</v>
      </c>
      <c r="G125" s="134">
        <f t="shared" si="46"/>
        <v>0</v>
      </c>
      <c r="H125" s="134">
        <f t="shared" si="46"/>
        <v>0</v>
      </c>
      <c r="I125" s="134">
        <f t="shared" si="46"/>
        <v>0</v>
      </c>
      <c r="J125" s="134">
        <f t="shared" si="46"/>
        <v>0</v>
      </c>
      <c r="K125" s="134">
        <f t="shared" si="46"/>
        <v>0</v>
      </c>
      <c r="L125" s="134">
        <f t="shared" si="46"/>
        <v>0</v>
      </c>
      <c r="M125" s="134"/>
      <c r="N125" s="107"/>
    </row>
    <row r="126" spans="1:14" ht="17.25" customHeight="1" hidden="1">
      <c r="A126" s="135">
        <v>3232</v>
      </c>
      <c r="B126" s="129" t="s">
        <v>73</v>
      </c>
      <c r="C126" s="130">
        <f>+SUM(D126:L126)</f>
        <v>1883900</v>
      </c>
      <c r="D126" s="136">
        <v>1883900</v>
      </c>
      <c r="E126" s="136"/>
      <c r="F126" s="136"/>
      <c r="G126" s="136"/>
      <c r="H126" s="136"/>
      <c r="I126" s="136"/>
      <c r="J126" s="136"/>
      <c r="K126" s="136"/>
      <c r="L126" s="136"/>
      <c r="M126" s="130"/>
      <c r="N126" s="131"/>
    </row>
    <row r="127" spans="1:14" ht="15.75">
      <c r="A127" s="137">
        <v>34</v>
      </c>
      <c r="B127" s="133" t="s">
        <v>85</v>
      </c>
      <c r="C127" s="102">
        <f>SUM(C128:C130)</f>
        <v>709047.93</v>
      </c>
      <c r="D127" s="102">
        <f>SUM(D128:D130)</f>
        <v>709047.93</v>
      </c>
      <c r="E127" s="102">
        <f aca="true" t="shared" si="47" ref="E127:L127">SUM(E128:E130)</f>
        <v>0</v>
      </c>
      <c r="F127" s="102">
        <f t="shared" si="47"/>
        <v>0</v>
      </c>
      <c r="G127" s="102">
        <f t="shared" si="47"/>
        <v>0</v>
      </c>
      <c r="H127" s="102">
        <f t="shared" si="47"/>
        <v>0</v>
      </c>
      <c r="I127" s="102">
        <f t="shared" si="47"/>
        <v>0</v>
      </c>
      <c r="J127" s="102">
        <f t="shared" si="47"/>
        <v>0</v>
      </c>
      <c r="K127" s="102">
        <f t="shared" si="47"/>
        <v>0</v>
      </c>
      <c r="L127" s="102">
        <f t="shared" si="47"/>
        <v>0</v>
      </c>
      <c r="M127" s="102">
        <v>709048</v>
      </c>
      <c r="N127" s="107">
        <v>709048</v>
      </c>
    </row>
    <row r="128" spans="1:14" s="127" customFormat="1" ht="15.75">
      <c r="A128" s="137">
        <v>342</v>
      </c>
      <c r="B128" s="133" t="s">
        <v>113</v>
      </c>
      <c r="C128" s="134">
        <f>+SUM(D128:L128)</f>
        <v>642011.93</v>
      </c>
      <c r="D128" s="102">
        <v>642011.93</v>
      </c>
      <c r="E128" s="102"/>
      <c r="F128" s="102"/>
      <c r="G128" s="102"/>
      <c r="H128" s="102"/>
      <c r="I128" s="102"/>
      <c r="J128" s="102"/>
      <c r="K128" s="102"/>
      <c r="L128" s="102"/>
      <c r="M128" s="102"/>
      <c r="N128" s="126"/>
    </row>
    <row r="129" spans="1:14" ht="28.5" customHeight="1" hidden="1">
      <c r="A129" s="135">
        <v>3423</v>
      </c>
      <c r="B129" s="129" t="s">
        <v>114</v>
      </c>
      <c r="C129" s="13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1"/>
    </row>
    <row r="130" spans="1:14" s="127" customFormat="1" ht="15.75">
      <c r="A130" s="137">
        <v>343</v>
      </c>
      <c r="B130" s="133" t="s">
        <v>28</v>
      </c>
      <c r="C130" s="134">
        <f>+SUM(D130:L130)</f>
        <v>67036</v>
      </c>
      <c r="D130" s="134">
        <f>D131</f>
        <v>67036</v>
      </c>
      <c r="E130" s="134"/>
      <c r="F130" s="134"/>
      <c r="G130" s="134"/>
      <c r="H130" s="134"/>
      <c r="I130" s="134"/>
      <c r="J130" s="134"/>
      <c r="K130" s="134"/>
      <c r="L130" s="134"/>
      <c r="M130" s="134"/>
      <c r="N130" s="107"/>
    </row>
    <row r="131" spans="1:14" ht="29.25" customHeight="1" hidden="1">
      <c r="A131" s="195">
        <v>3432</v>
      </c>
      <c r="B131" s="159" t="s">
        <v>115</v>
      </c>
      <c r="C131" s="130">
        <f>+SUM(D131:L131)</f>
        <v>67036</v>
      </c>
      <c r="D131" s="160">
        <v>67036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196"/>
    </row>
    <row r="132" spans="1:16" s="144" customFormat="1" ht="32.25" customHeight="1">
      <c r="A132" s="284" t="s">
        <v>90</v>
      </c>
      <c r="B132" s="285"/>
      <c r="C132" s="143">
        <f>C123</f>
        <v>2592947.93</v>
      </c>
      <c r="D132" s="143">
        <f>D123</f>
        <v>2592947.93</v>
      </c>
      <c r="E132" s="143">
        <f aca="true" t="shared" si="48" ref="E132:L132">E123</f>
        <v>0</v>
      </c>
      <c r="F132" s="143">
        <f t="shared" si="48"/>
        <v>0</v>
      </c>
      <c r="G132" s="143">
        <f t="shared" si="48"/>
        <v>0</v>
      </c>
      <c r="H132" s="143">
        <f t="shared" si="48"/>
        <v>0</v>
      </c>
      <c r="I132" s="143">
        <f t="shared" si="48"/>
        <v>0</v>
      </c>
      <c r="J132" s="143">
        <f t="shared" si="48"/>
        <v>0</v>
      </c>
      <c r="K132" s="143">
        <f t="shared" si="48"/>
        <v>0</v>
      </c>
      <c r="L132" s="143">
        <f t="shared" si="48"/>
        <v>0</v>
      </c>
      <c r="M132" s="143">
        <f>M123</f>
        <v>2592948</v>
      </c>
      <c r="N132" s="143">
        <f>N123</f>
        <v>2592948</v>
      </c>
      <c r="O132" s="143" t="e">
        <f>#REF!+O116</f>
        <v>#REF!</v>
      </c>
      <c r="P132" s="143" t="e">
        <f>#REF!+P116</f>
        <v>#REF!</v>
      </c>
    </row>
    <row r="133" spans="1:16" s="144" customFormat="1" ht="14.25" customHeight="1">
      <c r="A133" s="145"/>
      <c r="B133" s="150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</row>
    <row r="134" spans="1:16" s="144" customFormat="1" ht="14.25" customHeight="1">
      <c r="A134" s="145"/>
      <c r="B134" s="150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</row>
    <row r="135" spans="1:14" ht="32.25" customHeight="1">
      <c r="A135" s="103" t="s">
        <v>34</v>
      </c>
      <c r="B135" s="104" t="s">
        <v>101</v>
      </c>
      <c r="C135" s="105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1:14" ht="25.5">
      <c r="A136" s="151">
        <v>4</v>
      </c>
      <c r="B136" s="152" t="s">
        <v>93</v>
      </c>
      <c r="C136" s="109">
        <f>C137+C143</f>
        <v>0</v>
      </c>
      <c r="D136" s="109">
        <f>D137+D143</f>
        <v>0</v>
      </c>
      <c r="E136" s="109">
        <f aca="true" t="shared" si="49" ref="E136:L136">E137+E143</f>
        <v>0</v>
      </c>
      <c r="F136" s="109">
        <f t="shared" si="49"/>
        <v>0</v>
      </c>
      <c r="G136" s="109">
        <f t="shared" si="49"/>
        <v>0</v>
      </c>
      <c r="H136" s="109">
        <f t="shared" si="49"/>
        <v>0</v>
      </c>
      <c r="I136" s="109">
        <f t="shared" si="49"/>
        <v>0</v>
      </c>
      <c r="J136" s="109">
        <f t="shared" si="49"/>
        <v>0</v>
      </c>
      <c r="K136" s="109">
        <f t="shared" si="49"/>
        <v>0</v>
      </c>
      <c r="L136" s="109">
        <f t="shared" si="49"/>
        <v>0</v>
      </c>
      <c r="M136" s="109">
        <f>M137+M143</f>
        <v>4682040</v>
      </c>
      <c r="N136" s="109">
        <f>N137+N143</f>
        <v>4682040</v>
      </c>
    </row>
    <row r="137" spans="1:14" ht="30.75" customHeight="1">
      <c r="A137" s="151">
        <v>42</v>
      </c>
      <c r="B137" s="152" t="s">
        <v>94</v>
      </c>
      <c r="C137" s="109">
        <f aca="true" t="shared" si="50" ref="C137:L137">C138</f>
        <v>0</v>
      </c>
      <c r="D137" s="109">
        <f t="shared" si="50"/>
        <v>0</v>
      </c>
      <c r="E137" s="109">
        <f t="shared" si="50"/>
        <v>0</v>
      </c>
      <c r="F137" s="109">
        <f t="shared" si="50"/>
        <v>0</v>
      </c>
      <c r="G137" s="109">
        <f t="shared" si="50"/>
        <v>0</v>
      </c>
      <c r="H137" s="109">
        <f t="shared" si="50"/>
        <v>0</v>
      </c>
      <c r="I137" s="109">
        <f t="shared" si="50"/>
        <v>0</v>
      </c>
      <c r="J137" s="109">
        <f t="shared" si="50"/>
        <v>0</v>
      </c>
      <c r="K137" s="109">
        <f t="shared" si="50"/>
        <v>0</v>
      </c>
      <c r="L137" s="109">
        <f t="shared" si="50"/>
        <v>0</v>
      </c>
      <c r="M137" s="109">
        <v>4282040</v>
      </c>
      <c r="N137" s="109">
        <v>4282040</v>
      </c>
    </row>
    <row r="138" spans="1:14" s="127" customFormat="1" ht="15" customHeight="1">
      <c r="A138" s="151">
        <v>422</v>
      </c>
      <c r="B138" s="152" t="s">
        <v>29</v>
      </c>
      <c r="C138" s="109">
        <f>SUM(C139:C142)</f>
        <v>0</v>
      </c>
      <c r="D138" s="109">
        <f>SUM(D139:D142)</f>
        <v>0</v>
      </c>
      <c r="E138" s="109">
        <f aca="true" t="shared" si="51" ref="E138:L138">SUM(E139)</f>
        <v>0</v>
      </c>
      <c r="F138" s="109">
        <f t="shared" si="51"/>
        <v>0</v>
      </c>
      <c r="G138" s="109">
        <f t="shared" si="51"/>
        <v>0</v>
      </c>
      <c r="H138" s="109">
        <f t="shared" si="51"/>
        <v>0</v>
      </c>
      <c r="I138" s="109">
        <f t="shared" si="51"/>
        <v>0</v>
      </c>
      <c r="J138" s="109">
        <f t="shared" si="51"/>
        <v>0</v>
      </c>
      <c r="K138" s="109">
        <f t="shared" si="51"/>
        <v>0</v>
      </c>
      <c r="L138" s="109">
        <f t="shared" si="51"/>
        <v>0</v>
      </c>
      <c r="M138" s="109"/>
      <c r="N138" s="109"/>
    </row>
    <row r="139" spans="1:14" ht="17.25" customHeight="1" hidden="1">
      <c r="A139" s="153">
        <v>4221</v>
      </c>
      <c r="B139" s="154" t="s">
        <v>102</v>
      </c>
      <c r="C139" s="155">
        <f>+SUM(D139:L139)</f>
        <v>0</v>
      </c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</row>
    <row r="140" spans="1:14" ht="18" customHeight="1" hidden="1">
      <c r="A140" s="153">
        <v>4223</v>
      </c>
      <c r="B140" s="154" t="s">
        <v>116</v>
      </c>
      <c r="C140" s="155">
        <f>+SUM(D140:L140)</f>
        <v>0</v>
      </c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</row>
    <row r="141" spans="1:14" ht="18.75" customHeight="1" hidden="1">
      <c r="A141" s="153">
        <v>4224</v>
      </c>
      <c r="B141" s="154" t="s">
        <v>103</v>
      </c>
      <c r="C141" s="155">
        <f>+SUM(D141:L141)</f>
        <v>0</v>
      </c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</row>
    <row r="142" spans="1:14" ht="17.25" customHeight="1" hidden="1">
      <c r="A142" s="153">
        <v>4227</v>
      </c>
      <c r="B142" s="154" t="s">
        <v>117</v>
      </c>
      <c r="C142" s="155">
        <f>+SUM(D142:L142)</f>
        <v>0</v>
      </c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</row>
    <row r="143" spans="1:14" s="127" customFormat="1" ht="31.5" customHeight="1">
      <c r="A143" s="151">
        <v>45</v>
      </c>
      <c r="B143" s="152" t="s">
        <v>104</v>
      </c>
      <c r="C143" s="109">
        <f>C144</f>
        <v>0</v>
      </c>
      <c r="D143" s="109">
        <f aca="true" t="shared" si="52" ref="D143:L144">D144</f>
        <v>0</v>
      </c>
      <c r="E143" s="109">
        <f t="shared" si="52"/>
        <v>0</v>
      </c>
      <c r="F143" s="109">
        <f t="shared" si="52"/>
        <v>0</v>
      </c>
      <c r="G143" s="109">
        <f t="shared" si="52"/>
        <v>0</v>
      </c>
      <c r="H143" s="109">
        <f t="shared" si="52"/>
        <v>0</v>
      </c>
      <c r="I143" s="109">
        <f t="shared" si="52"/>
        <v>0</v>
      </c>
      <c r="J143" s="109">
        <f t="shared" si="52"/>
        <v>0</v>
      </c>
      <c r="K143" s="109">
        <f t="shared" si="52"/>
        <v>0</v>
      </c>
      <c r="L143" s="109">
        <f t="shared" si="52"/>
        <v>0</v>
      </c>
      <c r="M143" s="109">
        <v>400000</v>
      </c>
      <c r="N143" s="109">
        <v>400000</v>
      </c>
    </row>
    <row r="144" spans="1:14" s="127" customFormat="1" ht="25.5">
      <c r="A144" s="151">
        <v>451</v>
      </c>
      <c r="B144" s="152" t="s">
        <v>105</v>
      </c>
      <c r="C144" s="109">
        <f>C145</f>
        <v>0</v>
      </c>
      <c r="D144" s="109">
        <f t="shared" si="52"/>
        <v>0</v>
      </c>
      <c r="E144" s="109">
        <f t="shared" si="52"/>
        <v>0</v>
      </c>
      <c r="F144" s="109">
        <f t="shared" si="52"/>
        <v>0</v>
      </c>
      <c r="G144" s="109">
        <f t="shared" si="52"/>
        <v>0</v>
      </c>
      <c r="H144" s="109">
        <f t="shared" si="52"/>
        <v>0</v>
      </c>
      <c r="I144" s="109">
        <f t="shared" si="52"/>
        <v>0</v>
      </c>
      <c r="J144" s="109">
        <f t="shared" si="52"/>
        <v>0</v>
      </c>
      <c r="K144" s="109">
        <f t="shared" si="52"/>
        <v>0</v>
      </c>
      <c r="L144" s="109">
        <f t="shared" si="52"/>
        <v>0</v>
      </c>
      <c r="M144" s="109"/>
      <c r="N144" s="109"/>
    </row>
    <row r="145" spans="1:14" ht="0.75" customHeight="1">
      <c r="A145" s="153">
        <v>4511</v>
      </c>
      <c r="B145" s="154" t="s">
        <v>105</v>
      </c>
      <c r="C145" s="155">
        <f>+SUM(D145:L145)</f>
        <v>0</v>
      </c>
      <c r="D145" s="156"/>
      <c r="E145" s="156"/>
      <c r="F145" s="156"/>
      <c r="G145" s="155"/>
      <c r="H145" s="155"/>
      <c r="I145" s="156"/>
      <c r="J145" s="156"/>
      <c r="K145" s="156"/>
      <c r="L145" s="156"/>
      <c r="M145" s="155"/>
      <c r="N145" s="155"/>
    </row>
    <row r="146" spans="1:14" s="127" customFormat="1" ht="25.5">
      <c r="A146" s="151">
        <v>5</v>
      </c>
      <c r="B146" s="152" t="s">
        <v>6</v>
      </c>
      <c r="C146" s="109">
        <f>C147</f>
        <v>1666667</v>
      </c>
      <c r="D146" s="109">
        <f>SUM(D147)</f>
        <v>1666667</v>
      </c>
      <c r="E146" s="109">
        <f aca="true" t="shared" si="53" ref="E146:L146">SUM(E147)</f>
        <v>0</v>
      </c>
      <c r="F146" s="109">
        <f t="shared" si="53"/>
        <v>0</v>
      </c>
      <c r="G146" s="109">
        <f t="shared" si="53"/>
        <v>0</v>
      </c>
      <c r="H146" s="109"/>
      <c r="I146" s="109">
        <f t="shared" si="53"/>
        <v>0</v>
      </c>
      <c r="J146" s="109">
        <f t="shared" si="53"/>
        <v>0</v>
      </c>
      <c r="K146" s="109">
        <f t="shared" si="53"/>
        <v>0</v>
      </c>
      <c r="L146" s="109">
        <f t="shared" si="53"/>
        <v>0</v>
      </c>
      <c r="M146" s="109">
        <f>M147</f>
        <v>1666667</v>
      </c>
      <c r="N146" s="109">
        <f>N147</f>
        <v>1666667</v>
      </c>
    </row>
    <row r="147" spans="1:14" s="127" customFormat="1" ht="25.5">
      <c r="A147" s="151">
        <v>54</v>
      </c>
      <c r="B147" s="152" t="s">
        <v>106</v>
      </c>
      <c r="C147" s="109">
        <f>C148</f>
        <v>1666667</v>
      </c>
      <c r="D147" s="157">
        <f>D148</f>
        <v>1666667</v>
      </c>
      <c r="E147" s="157">
        <f aca="true" t="shared" si="54" ref="E147:L147">E148</f>
        <v>0</v>
      </c>
      <c r="F147" s="157">
        <f t="shared" si="54"/>
        <v>0</v>
      </c>
      <c r="G147" s="157">
        <f t="shared" si="54"/>
        <v>0</v>
      </c>
      <c r="H147" s="157"/>
      <c r="I147" s="157">
        <f t="shared" si="54"/>
        <v>0</v>
      </c>
      <c r="J147" s="157">
        <f t="shared" si="54"/>
        <v>0</v>
      </c>
      <c r="K147" s="157">
        <f t="shared" si="54"/>
        <v>0</v>
      </c>
      <c r="L147" s="157">
        <f t="shared" si="54"/>
        <v>0</v>
      </c>
      <c r="M147" s="157">
        <v>1666667</v>
      </c>
      <c r="N147" s="157">
        <v>1666667</v>
      </c>
    </row>
    <row r="148" spans="1:14" s="127" customFormat="1" ht="52.5" customHeight="1">
      <c r="A148" s="151">
        <v>544</v>
      </c>
      <c r="B148" s="152" t="s">
        <v>107</v>
      </c>
      <c r="C148" s="109">
        <f>C149</f>
        <v>1666667</v>
      </c>
      <c r="D148" s="157">
        <f>D149</f>
        <v>1666667</v>
      </c>
      <c r="E148" s="157"/>
      <c r="F148" s="157"/>
      <c r="G148" s="109"/>
      <c r="H148" s="109"/>
      <c r="I148" s="157"/>
      <c r="J148" s="157"/>
      <c r="K148" s="157"/>
      <c r="L148" s="157"/>
      <c r="M148" s="109"/>
      <c r="N148" s="109"/>
    </row>
    <row r="149" spans="1:14" ht="42" customHeight="1" hidden="1">
      <c r="A149" s="153">
        <v>5443</v>
      </c>
      <c r="B149" s="154" t="s">
        <v>108</v>
      </c>
      <c r="C149" s="155">
        <f>+SUM(D149:L149)</f>
        <v>1666667</v>
      </c>
      <c r="D149" s="156">
        <v>1666667</v>
      </c>
      <c r="E149" s="156"/>
      <c r="F149" s="156"/>
      <c r="G149" s="155"/>
      <c r="H149" s="155"/>
      <c r="I149" s="156"/>
      <c r="J149" s="156"/>
      <c r="K149" s="156"/>
      <c r="L149" s="156"/>
      <c r="M149" s="155"/>
      <c r="N149" s="155"/>
    </row>
    <row r="150" spans="1:16" s="144" customFormat="1" ht="32.25" customHeight="1">
      <c r="A150" s="284" t="s">
        <v>90</v>
      </c>
      <c r="B150" s="285"/>
      <c r="C150" s="143">
        <f>SUM(D150:L150)</f>
        <v>1666667</v>
      </c>
      <c r="D150" s="143">
        <f>D136+D146</f>
        <v>1666667</v>
      </c>
      <c r="E150" s="143">
        <f aca="true" t="shared" si="55" ref="E150:L150">E136+E146</f>
        <v>0</v>
      </c>
      <c r="F150" s="143">
        <f t="shared" si="55"/>
        <v>0</v>
      </c>
      <c r="G150" s="143">
        <f t="shared" si="55"/>
        <v>0</v>
      </c>
      <c r="H150" s="143">
        <f t="shared" si="55"/>
        <v>0</v>
      </c>
      <c r="I150" s="143">
        <f t="shared" si="55"/>
        <v>0</v>
      </c>
      <c r="J150" s="143">
        <f t="shared" si="55"/>
        <v>0</v>
      </c>
      <c r="K150" s="143">
        <f t="shared" si="55"/>
        <v>0</v>
      </c>
      <c r="L150" s="143">
        <f t="shared" si="55"/>
        <v>0</v>
      </c>
      <c r="M150" s="143">
        <f>M146+M136</f>
        <v>6348707</v>
      </c>
      <c r="N150" s="143">
        <f>N146+N136</f>
        <v>6348707</v>
      </c>
      <c r="O150" s="143">
        <f>O67+O134</f>
        <v>0</v>
      </c>
      <c r="P150" s="143">
        <f>P67+P134</f>
        <v>0</v>
      </c>
    </row>
    <row r="151" spans="1:14" ht="21" customHeight="1">
      <c r="A151" s="158"/>
      <c r="B151" s="159"/>
      <c r="C151" s="160"/>
      <c r="D151" s="161"/>
      <c r="E151" s="161"/>
      <c r="F151" s="161"/>
      <c r="G151" s="160"/>
      <c r="H151" s="160"/>
      <c r="I151" s="161"/>
      <c r="J151" s="161"/>
      <c r="K151" s="161"/>
      <c r="L151" s="161"/>
      <c r="M151" s="160"/>
      <c r="N151" s="160"/>
    </row>
    <row r="152" spans="1:14" s="127" customFormat="1" ht="21" customHeight="1">
      <c r="A152" s="162"/>
      <c r="B152" s="163" t="s">
        <v>109</v>
      </c>
      <c r="C152" s="164">
        <f>SUM(D152:K152)</f>
        <v>281072297.68</v>
      </c>
      <c r="D152" s="165">
        <f>D150+D132+D118+D107+D96+D73+D62+D80</f>
        <v>9606654.93</v>
      </c>
      <c r="E152" s="165">
        <f aca="true" t="shared" si="56" ref="E152:N152">E150+E132+E118+E107+E96+E73+E62+E80</f>
        <v>611500</v>
      </c>
      <c r="F152" s="165">
        <f t="shared" si="56"/>
        <v>2700000</v>
      </c>
      <c r="G152" s="165">
        <f>G150+G132+G118+G107+G96+G73+G62+G80</f>
        <v>200358145.75</v>
      </c>
      <c r="H152" s="165">
        <f t="shared" si="56"/>
        <v>1039239</v>
      </c>
      <c r="I152" s="165">
        <f t="shared" si="56"/>
        <v>66446758</v>
      </c>
      <c r="J152" s="165">
        <f t="shared" si="56"/>
        <v>300000</v>
      </c>
      <c r="K152" s="165">
        <f t="shared" si="56"/>
        <v>10000</v>
      </c>
      <c r="L152" s="165">
        <f t="shared" si="56"/>
        <v>0</v>
      </c>
      <c r="M152" s="165">
        <f>M150+M132+M118+M107+M96+M73+M62+M80</f>
        <v>286318953</v>
      </c>
      <c r="N152" s="165">
        <f t="shared" si="56"/>
        <v>226900155</v>
      </c>
    </row>
    <row r="153" spans="1:14" s="127" customFormat="1" ht="21" customHeight="1">
      <c r="A153" s="198"/>
      <c r="B153" s="199"/>
      <c r="C153" s="200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</row>
    <row r="154" spans="1:11" ht="15.75">
      <c r="A154" s="97" t="s">
        <v>155</v>
      </c>
      <c r="C154" s="178"/>
      <c r="K154" s="106" t="s">
        <v>118</v>
      </c>
    </row>
    <row r="155" spans="1:13" s="127" customFormat="1" ht="21" customHeight="1">
      <c r="A155" s="198"/>
      <c r="B155" s="199"/>
      <c r="C155" s="221"/>
      <c r="D155" s="222"/>
      <c r="E155" s="222"/>
      <c r="F155" s="201"/>
      <c r="G155" s="201"/>
      <c r="H155" s="201"/>
      <c r="I155" s="201"/>
      <c r="J155" s="201"/>
      <c r="K155" s="202" t="s">
        <v>129</v>
      </c>
      <c r="L155" s="201"/>
      <c r="M155" s="201"/>
    </row>
    <row r="156" spans="1:13" s="127" customFormat="1" ht="21" customHeight="1">
      <c r="A156" s="198"/>
      <c r="B156" s="199"/>
      <c r="C156" s="221"/>
      <c r="D156" s="222"/>
      <c r="E156" s="222"/>
      <c r="F156" s="201"/>
      <c r="G156" s="201"/>
      <c r="H156" s="201"/>
      <c r="I156" s="201"/>
      <c r="J156" s="201"/>
      <c r="K156" s="206"/>
      <c r="L156" s="201"/>
      <c r="M156" s="201"/>
    </row>
    <row r="157" spans="1:14" s="127" customFormat="1" ht="21" customHeight="1">
      <c r="A157" s="198"/>
      <c r="B157" s="199"/>
      <c r="C157" s="221"/>
      <c r="D157" s="222"/>
      <c r="E157" s="222"/>
      <c r="F157" s="201"/>
      <c r="G157" s="201"/>
      <c r="H157" s="201"/>
      <c r="I157" s="201"/>
      <c r="J157" s="201"/>
      <c r="K157" s="206"/>
      <c r="L157" s="201"/>
      <c r="M157" s="201"/>
      <c r="N157" s="201"/>
    </row>
    <row r="158" spans="1:14" ht="15.75">
      <c r="A158" s="158"/>
      <c r="B158" s="159"/>
      <c r="C158" s="160"/>
      <c r="D158" s="161"/>
      <c r="E158" s="161"/>
      <c r="F158" s="161"/>
      <c r="G158" s="160"/>
      <c r="H158" s="160"/>
      <c r="I158" s="161"/>
      <c r="J158" s="161"/>
      <c r="K158" s="161"/>
      <c r="L158" s="161"/>
      <c r="M158" s="160"/>
      <c r="N158" s="160"/>
    </row>
    <row r="159" spans="1:19" s="170" customFormat="1" ht="18.75">
      <c r="A159" s="166"/>
      <c r="B159" s="167"/>
      <c r="C159" s="168"/>
      <c r="D159" s="168"/>
      <c r="E159" s="169"/>
      <c r="G159" s="106"/>
      <c r="H159" s="106"/>
      <c r="I159" s="171"/>
      <c r="J159" s="171"/>
      <c r="K159" s="172"/>
      <c r="Q159" s="173"/>
      <c r="R159" s="173"/>
      <c r="S159" s="173"/>
    </row>
    <row r="160" spans="1:19" s="170" customFormat="1" ht="18">
      <c r="A160" s="174"/>
      <c r="B160" s="167"/>
      <c r="C160" s="168"/>
      <c r="D160" s="168"/>
      <c r="E160" s="169"/>
      <c r="G160" s="106"/>
      <c r="H160" s="106"/>
      <c r="I160" s="171"/>
      <c r="J160" s="171"/>
      <c r="K160" s="175"/>
      <c r="Q160" s="173"/>
      <c r="R160" s="173"/>
      <c r="S160" s="173"/>
    </row>
    <row r="161" spans="3:11" ht="18.75">
      <c r="C161" s="178"/>
      <c r="D161" s="203"/>
      <c r="K161" s="177"/>
    </row>
    <row r="162" spans="3:4" ht="15.75">
      <c r="C162" s="178"/>
      <c r="D162" s="203"/>
    </row>
    <row r="163" spans="3:4" ht="15.75">
      <c r="C163" s="178"/>
      <c r="D163" s="203"/>
    </row>
    <row r="164" spans="3:4" ht="15.75">
      <c r="C164" s="178"/>
      <c r="D164" s="203"/>
    </row>
    <row r="165" spans="3:4" ht="15.75">
      <c r="C165" s="178"/>
      <c r="D165" s="203"/>
    </row>
    <row r="166" spans="3:4" ht="15.75">
      <c r="C166" s="178"/>
      <c r="D166" s="203"/>
    </row>
    <row r="167" spans="3:4" ht="15.75">
      <c r="C167" s="178"/>
      <c r="D167" s="203"/>
    </row>
    <row r="168" spans="3:4" ht="15.75">
      <c r="C168" s="178"/>
      <c r="D168" s="203"/>
    </row>
    <row r="169" spans="3:4" ht="15.75">
      <c r="C169" s="178"/>
      <c r="D169" s="203"/>
    </row>
    <row r="170" spans="3:4" ht="15.75">
      <c r="C170" s="178"/>
      <c r="D170" s="178"/>
    </row>
    <row r="171" spans="3:4" ht="15.75">
      <c r="C171" s="178"/>
      <c r="D171" s="178"/>
    </row>
    <row r="172" spans="3:4" ht="15.75">
      <c r="C172" s="178"/>
      <c r="D172" s="178"/>
    </row>
    <row r="173" spans="3:4" ht="15.75">
      <c r="C173" s="178"/>
      <c r="D173" s="178"/>
    </row>
    <row r="174" spans="3:4" ht="15.75">
      <c r="C174" s="178"/>
      <c r="D174" s="178"/>
    </row>
    <row r="175" spans="3:4" ht="15.75">
      <c r="C175" s="178"/>
      <c r="D175" s="178"/>
    </row>
    <row r="176" spans="3:4" ht="15.75">
      <c r="C176" s="178"/>
      <c r="D176" s="178"/>
    </row>
    <row r="177" spans="3:4" ht="15.75">
      <c r="C177" s="178"/>
      <c r="D177" s="178"/>
    </row>
    <row r="178" spans="3:4" ht="15.75">
      <c r="C178" s="178"/>
      <c r="D178" s="178"/>
    </row>
    <row r="179" spans="3:4" ht="15.75">
      <c r="C179" s="178"/>
      <c r="D179" s="178"/>
    </row>
    <row r="180" spans="3:4" ht="15.75">
      <c r="C180" s="178"/>
      <c r="D180" s="178"/>
    </row>
    <row r="181" spans="3:4" ht="15.75">
      <c r="C181" s="178"/>
      <c r="D181" s="178"/>
    </row>
    <row r="185" ht="15.75">
      <c r="D185" s="176">
        <f>25*72</f>
        <v>1800</v>
      </c>
    </row>
    <row r="186" ht="15.75">
      <c r="D186" s="176">
        <f>72*12</f>
        <v>864</v>
      </c>
    </row>
    <row r="187" ht="15.75">
      <c r="D187" s="176">
        <f>72*89.5</f>
        <v>6444</v>
      </c>
    </row>
  </sheetData>
  <sheetProtection/>
  <mergeCells count="9">
    <mergeCell ref="A1:N1"/>
    <mergeCell ref="A62:B62"/>
    <mergeCell ref="A107:B107"/>
    <mergeCell ref="A118:B118"/>
    <mergeCell ref="A132:B132"/>
    <mergeCell ref="A150:B150"/>
    <mergeCell ref="A73:B73"/>
    <mergeCell ref="A80:B80"/>
    <mergeCell ref="A96:B9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9" r:id="rId1"/>
  <rowBreaks count="2" manualBreakCount="2">
    <brk id="81" max="13" man="1"/>
    <brk id="1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2017-10-25T11:42:17Z</cp:lastPrinted>
  <dcterms:created xsi:type="dcterms:W3CDTF">2013-09-11T11:00:21Z</dcterms:created>
  <dcterms:modified xsi:type="dcterms:W3CDTF">2018-09-10T12:53:01Z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